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delcampo\Downloads\"/>
    </mc:Choice>
  </mc:AlternateContent>
  <xr:revisionPtr revIDLastSave="0" documentId="8_{BA853584-4472-4222-A6F4-5D66FA2EFEC3}" xr6:coauthVersionLast="47" xr6:coauthVersionMax="47" xr10:uidLastSave="{00000000-0000-0000-0000-000000000000}"/>
  <bookViews>
    <workbookView xWindow="-110" yWindow="-110" windowWidth="19420" windowHeight="11500" xr2:uid="{00000000-000D-0000-FFFF-FFFF00000000}"/>
  </bookViews>
  <sheets>
    <sheet name="Introduction " sheetId="3" r:id="rId1"/>
    <sheet name="Annual Report" sheetId="19" r:id="rId2"/>
    <sheet name="Overview Planned Investments" sheetId="21" r:id="rId3"/>
    <sheet name=" Menu rozwijane" sheetId="6" state="hidden" r:id="rId4"/>
  </sheets>
  <definedNames>
    <definedName name="_xlnm._FilterDatabase" localSheetId="1" hidden="1">'Annual Report'!$A$4:$AH$26</definedName>
    <definedName name="_ftn1" localSheetId="1">'Annual Report'!$I$29</definedName>
    <definedName name="_ftnref1" localSheetId="1">'Annual Report'!$I$26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19" l="1"/>
  <c r="T24" i="19"/>
  <c r="Y20" i="19"/>
  <c r="T20" i="19"/>
  <c r="T18" i="19" l="1"/>
  <c r="T17" i="19"/>
  <c r="O17" i="19"/>
  <c r="V14" i="19"/>
  <c r="Z14" i="19" s="1"/>
  <c r="T13" i="19"/>
  <c r="V12" i="19"/>
  <c r="T12" i="19"/>
  <c r="T11" i="19"/>
  <c r="T10" i="19"/>
  <c r="Z9" i="19"/>
  <c r="V9" i="19"/>
  <c r="V8" i="19"/>
  <c r="T9" i="19"/>
  <c r="T8" i="19"/>
  <c r="Z6" i="19"/>
  <c r="T5" i="19"/>
  <c r="Z7" i="19"/>
  <c r="Z8" i="19"/>
  <c r="Z10" i="19"/>
  <c r="Z13" i="19"/>
  <c r="Z15" i="19"/>
  <c r="Z16" i="19"/>
  <c r="Z17" i="19"/>
  <c r="Z19" i="19"/>
  <c r="Z20" i="19"/>
  <c r="Z21" i="19"/>
  <c r="Z22" i="19"/>
  <c r="Z24" i="19"/>
  <c r="Z25" i="19"/>
  <c r="Z26" i="19"/>
  <c r="Z5" i="19"/>
  <c r="Y5" i="19"/>
  <c r="Y6" i="19"/>
  <c r="Y7" i="19"/>
  <c r="Y8" i="19"/>
  <c r="Y10" i="19"/>
  <c r="Y11" i="19"/>
  <c r="Y12" i="19"/>
  <c r="Y13" i="19"/>
  <c r="Y14" i="19"/>
  <c r="Y15" i="19"/>
  <c r="Y16" i="19"/>
  <c r="Y17" i="19"/>
  <c r="Y18" i="19"/>
  <c r="Y19" i="19"/>
  <c r="Y21" i="19"/>
  <c r="Y23" i="19"/>
  <c r="H8" i="21" l="1"/>
  <c r="H7" i="21"/>
  <c r="H5" i="21"/>
  <c r="P23" i="19" l="1"/>
  <c r="P16" i="19"/>
  <c r="O16" i="19"/>
  <c r="O13" i="19"/>
  <c r="P11" i="19"/>
  <c r="P21" i="19"/>
  <c r="O21" i="19"/>
  <c r="W21" i="19"/>
  <c r="U21" i="19"/>
  <c r="S21" i="19"/>
  <c r="O23" i="19"/>
  <c r="Z23" i="19"/>
  <c r="S23" i="19"/>
  <c r="Z18" i="19"/>
  <c r="U18" i="19"/>
  <c r="U17" i="19"/>
  <c r="U14" i="19"/>
  <c r="V13" i="19" l="1"/>
  <c r="U13" i="19"/>
  <c r="S13" i="19"/>
  <c r="U12" i="19"/>
  <c r="Z12" i="19" s="1"/>
  <c r="S12" i="19"/>
  <c r="Z11" i="19"/>
  <c r="U8" i="19"/>
  <c r="S8" i="19"/>
  <c r="U7" i="19"/>
  <c r="U6" i="19"/>
  <c r="P17" i="19" l="1"/>
  <c r="O19" i="19"/>
  <c r="O18" i="19"/>
  <c r="O15" i="19"/>
  <c r="P14" i="19"/>
  <c r="O14" i="19"/>
  <c r="P13" i="19"/>
  <c r="P12" i="19"/>
  <c r="O12" i="19"/>
  <c r="O11" i="19"/>
  <c r="O10" i="19"/>
  <c r="O8" i="19"/>
  <c r="P7" i="19"/>
  <c r="O7" i="19"/>
  <c r="P6" i="19"/>
  <c r="O6" i="19"/>
  <c r="P5" i="19"/>
  <c r="O5" i="19"/>
  <c r="N17" i="19"/>
  <c r="N13" i="19"/>
  <c r="M17" i="19" l="1"/>
  <c r="L17" i="19"/>
  <c r="N6" i="19"/>
  <c r="N5" i="19"/>
  <c r="N21" i="19" l="1"/>
  <c r="N18" i="19"/>
  <c r="N8" i="19"/>
  <c r="N14" i="19"/>
  <c r="N7" i="19"/>
  <c r="N20" i="19"/>
  <c r="N19" i="19"/>
  <c r="N16" i="19"/>
  <c r="N11" i="19"/>
  <c r="N10" i="19"/>
  <c r="N9" i="19"/>
</calcChain>
</file>

<file path=xl/sharedStrings.xml><?xml version="1.0" encoding="utf-8"?>
<sst xmlns="http://schemas.openxmlformats.org/spreadsheetml/2006/main" count="610" uniqueCount="218">
  <si>
    <t>CLIMA-MODFUND@ec.europa.eu</t>
  </si>
  <si>
    <t>Bułgaria</t>
  </si>
  <si>
    <t>bMS</t>
  </si>
  <si>
    <t>Rok</t>
  </si>
  <si>
    <t>Kolumna 1</t>
  </si>
  <si>
    <t>Kolumna 2</t>
  </si>
  <si>
    <t>-</t>
  </si>
  <si>
    <t>Czechy</t>
  </si>
  <si>
    <t>Estonia</t>
  </si>
  <si>
    <t>Grecja</t>
  </si>
  <si>
    <t>Chorwacja</t>
  </si>
  <si>
    <t>Łotwa</t>
  </si>
  <si>
    <t>Litwa</t>
  </si>
  <si>
    <t>Węgry</t>
  </si>
  <si>
    <t>Polska</t>
  </si>
  <si>
    <t>Portugalia</t>
  </si>
  <si>
    <t>Rumunia</t>
  </si>
  <si>
    <t>Słowenia</t>
  </si>
  <si>
    <t>Słowacja</t>
  </si>
  <si>
    <t>MF 2021-1 PL 0-004</t>
  </si>
  <si>
    <t>MF 2021-1 PL 0-003</t>
  </si>
  <si>
    <t>MF 2021-2 PL 0-001</t>
  </si>
  <si>
    <t>MF 2021-2 PL 0-002</t>
  </si>
  <si>
    <t>MF 2021-2 PL 0-003</t>
  </si>
  <si>
    <t>MF 2021-2 PL 0-004</t>
  </si>
  <si>
    <t>MF 2021-2 PL 0-005</t>
  </si>
  <si>
    <t>MF 2022-1 PL 0-004</t>
  </si>
  <si>
    <t>MF 2022-1 PL 0-003</t>
  </si>
  <si>
    <t>MF 2022-2 PL 0-001</t>
  </si>
  <si>
    <t>MF 2022-2 PL 0-002</t>
  </si>
  <si>
    <t>MF 2022-2 PL 0-003</t>
  </si>
  <si>
    <t>MF 2022-2 PL 0-004</t>
  </si>
  <si>
    <t>MF 2022-2 PL 1-001</t>
  </si>
  <si>
    <t>MF 2021-2 PL 0-004 MF 2022-1 PL 0-001 MF 2022-1 PL 0-007 MF 2023-1 PL 0-001</t>
  </si>
  <si>
    <t>MF 2023-1 PL 0-002</t>
  </si>
  <si>
    <t>MF 2023-2 PL 0-001</t>
  </si>
  <si>
    <t>MF 2021-1 PL 0-006</t>
  </si>
  <si>
    <t>MF 2021-1 PL 0-006 MF 2023-2 PL 0-003</t>
  </si>
  <si>
    <t>MF 2021-2 PL 1-001</t>
  </si>
  <si>
    <t>MF 2021-2 PL 1-001 MF 2022-2 PL 1-002</t>
  </si>
  <si>
    <t>https://www.gov.pl/web/funduszmodernizacyjny/podstawy-prawne Program Priorytetowe w ramach środków z Funduszu Modernizacyjnego - Fundusz Modernizacyjny - Portal Gov.pl (www.gov.pl)</t>
  </si>
  <si>
    <t>Wsparcie wykorzystania magazynów oraz innych urządzeń na cele stabilizacji sieci - program dla Operatorów Sieci Dystrybucyjnych - Fundusz Modernizacyjny - Portal Gov.pl (www.gov.pl)</t>
  </si>
  <si>
    <t xml:space="preserve"> MF 2023-2 PL 0-002</t>
  </si>
  <si>
    <t>MF 2024-1 PL 0-005</t>
  </si>
  <si>
    <t>https://www.gov.pl/web/funduszmodernizacyjny/wsparcie-budowy-ilub-rozbudowy-ogolnodostepnych-stacji-ladowania-dla-transportu-ciezkiego</t>
  </si>
  <si>
    <t>MF 2024-1 PL 0-007</t>
  </si>
  <si>
    <t>https://www.gov.pl/web/funduszmodernizacyjny/moja-elektrownia-wiatrowa</t>
  </si>
  <si>
    <t>MF 2024-2 PL 0-001</t>
  </si>
  <si>
    <t>MF 2024-2 PL 0-002</t>
  </si>
  <si>
    <t>MF 2024-2 PL 0-005</t>
  </si>
  <si>
    <t>https://www.gov.pl/web/funduszmodernizacyjny/magazyny</t>
  </si>
  <si>
    <t>https://www.gov.pl/web/funduszmodernizacyjny/budowarozbudowa-sieci-elektroenergetycznych-na-potrzeby-ogolnodostepnych-stacji-ladowania-duzych-mocy</t>
  </si>
  <si>
    <t>https://www.gov.pl/web/funduszmodernizacyjny/wsparcie-zakupu-lub-leasingu-pojazdow-zeroemisyjnych-kategorii-n2-i-n3</t>
  </si>
  <si>
    <t xml:space="preserve">https://www.gov.pl/web/funduszmodernizacyjny/energia-dla-wsi2 </t>
  </si>
  <si>
    <t>MF 2022-2 PL 0-003
MF 2024-2 PL 0-003</t>
  </si>
  <si>
    <t>Not started</t>
  </si>
  <si>
    <t>Tender ongoing</t>
  </si>
  <si>
    <t>2025.04.07 - 2025.04.25</t>
  </si>
  <si>
    <t xml:space="preserve">konsultacje zakończone w dniu 25 kwietnia - odpowiedź jest w trakcie opracowywywania - zostanie niezwłocznie opublikowana na stronie WWW </t>
  </si>
  <si>
    <t>do uzgodnienia</t>
  </si>
  <si>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</si>
  <si>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</si>
  <si>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</si>
  <si>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</si>
  <si>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sz val="11"/>
        <color rgb="FF000000"/>
        <rFont val="Calibri"/>
        <family val="2"/>
        <charset val="238"/>
        <scheme val="minor"/>
      </rPr>
      <t xml:space="preserve">3. The worksheet titled </t>
    </r>
    <r>
      <rPr>
        <b/>
        <i/>
        <sz val="11"/>
        <color rgb="FF000000"/>
        <rFont val="Calibri"/>
        <family val="2"/>
        <charset val="238"/>
        <scheme val="minor"/>
      </rPr>
      <t>'Overview Planned Investments'</t>
    </r>
    <r>
      <rPr>
        <sz val="11"/>
        <color rgb="FF000000"/>
        <rFont val="Calibri"/>
        <family val="2"/>
        <charset val="238"/>
        <scheme val="minor"/>
      </rPr>
      <t xml:space="preserve"> requires supplementary details according to </t>
    </r>
    <r>
      <rPr>
        <b/>
        <sz val="11"/>
        <color rgb="FF000000"/>
        <rFont val="Calibri"/>
        <family val="2"/>
        <charset val="238"/>
        <scheme val="minor"/>
      </rPr>
      <t>Annex III of the Implementing Regulation (EU) 2020/1001</t>
    </r>
    <r>
      <rPr>
        <sz val="11"/>
        <color rgb="FF000000"/>
        <rFont val="Calibri"/>
        <family val="2"/>
        <charset val="238"/>
        <scheme val="minor"/>
      </rPr>
      <t xml:space="preserve"> and </t>
    </r>
    <r>
      <rPr>
        <i/>
        <sz val="11"/>
        <color rgb="FF000000"/>
        <rFont val="Calibri"/>
        <family val="2"/>
        <charset val="238"/>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</si>
  <si>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</si>
  <si>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 xml:space="preserve">copying EIB (European Investment Bank): </t>
  </si>
  <si>
    <t xml:space="preserve">Modernisation-fund@eib.org  </t>
  </si>
  <si>
    <t xml:space="preserve">Year of Annual Report: </t>
  </si>
  <si>
    <t xml:space="preserve">Beneficary Member State (Dropdown Menu): </t>
  </si>
  <si>
    <t>Poland</t>
  </si>
  <si>
    <t>should we already add the new bMS?</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</si>
  <si>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</si>
  <si>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</si>
  <si>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</si>
  <si>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</si>
  <si>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</si>
  <si>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</si>
  <si>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</si>
  <si>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</si>
  <si>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</si>
  <si>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</si>
  <si>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</si>
  <si>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</si>
  <si>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</si>
  <si>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</si>
  <si>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</si>
  <si>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</si>
  <si>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</si>
  <si>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</si>
  <si>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</si>
  <si>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</si>
  <si>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</si>
  <si>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</si>
  <si>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</si>
  <si>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For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</si>
  <si>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</si>
  <si>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</si>
  <si>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</si>
  <si>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</si>
  <si>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</si>
  <si>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</si>
  <si>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</si>
  <si>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</si>
  <si>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</si>
  <si>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</si>
  <si>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</si>
  <si>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</si>
  <si>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</si>
  <si>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Renovation with a guarantee of savings</t>
  </si>
  <si>
    <t>Priority</t>
  </si>
  <si>
    <t>Scheme</t>
  </si>
  <si>
    <t>Construction ongoing</t>
  </si>
  <si>
    <t>Smart energy infrastructure</t>
  </si>
  <si>
    <t>Large-scale scheme</t>
  </si>
  <si>
    <t>Development of the power grid for future electric car charging stations</t>
  </si>
  <si>
    <t>Cogeneration for Energy and Industry</t>
  </si>
  <si>
    <t>Cogeneration for Energy and Industry - sectors in energy trasition</t>
  </si>
  <si>
    <t xml:space="preserve">Cogeneration For District heating </t>
  </si>
  <si>
    <t>Cogeneration For District heating - part II</t>
  </si>
  <si>
    <t>Digitisation of heating networks</t>
  </si>
  <si>
    <t>The use of alternative fuels for energy purposes</t>
  </si>
  <si>
    <t>Support for the use of storages and other devices for network stabilization - a scheme for DSOs</t>
  </si>
  <si>
    <t>Energy-intensive Industry – RES</t>
  </si>
  <si>
    <t>Energy-intensive industry - improving energy efficiency</t>
  </si>
  <si>
    <t>Energy for Rural Areas</t>
  </si>
  <si>
    <t>Cogeneration for counties</t>
  </si>
  <si>
    <t>Development of cogeneration based on municipal biogas</t>
  </si>
  <si>
    <t>RES - heat sources for district heating</t>
  </si>
  <si>
    <t>Non-priority</t>
  </si>
  <si>
    <t>My Heating</t>
  </si>
  <si>
    <t>Final beneficiaries up to date:
- Polczynskie Przedsiebiorstwo Komunalne sp. z o.o.</t>
  </si>
  <si>
    <t>The beneficiaries of the program are Entrepreneurs within the meaning of the Act of March 6, 2018, Entrepreneurs' Law, conducting business activities.</t>
  </si>
  <si>
    <t>Final beneficiaries up to date:
- Miejska Energetyka Cieplna w Koszalinie sp. z o.o.;
- Miejskie Przedsiebiorstwo Energetyki Cieplnej sp. z o.o.</t>
  </si>
  <si>
    <t>Final beneficiaries up to date:
- Przedsiebiorstwo Energetyki Cieplnej w Suwalkach sp. z o.o.</t>
  </si>
  <si>
    <t>Final beneficiaries up to date: https://www.gov.pl/web/funduszmodernizacyjny/zawarte-umowy</t>
  </si>
  <si>
    <t>Final beneficiaries up to date: 
- Südzucker Polska Spółka Akcyjna</t>
  </si>
  <si>
    <t>Final beneficiaries up to date: 
- Miedzygminny Kompleks Unieszkodliwiania Odpadow ProNatura sp. z o.o.</t>
  </si>
  <si>
    <t>Program beneficiaries: entrepreneurs within the meaning of the Act of March 6, 2018, Entrepreneurs' Law, conducting business activity in the field of heat generation or cogeneration of heat and electricity.</t>
  </si>
  <si>
    <t>The final recipients of the aid will be natural persons. The program is addressed to owners or co-owners (end recipients) of new single-family buildings. Beneficiaries that have been awarded support:
https://mojecieplo.gov.pl/wyniki-naboru/</t>
  </si>
  <si>
    <t xml:space="preserve">Support for the construction or expansion of a publicly accessible charging station for heavy transport   </t>
  </si>
  <si>
    <t xml:space="preserve">My Wind Electric System </t>
  </si>
  <si>
    <t xml:space="preserve">Construction/expansion of power grids for the needs of publicly available high-power charging stations </t>
  </si>
  <si>
    <t xml:space="preserve">Support for the purchase or leasing of zero-emission vehicles of N2 and N3 categories </t>
  </si>
  <si>
    <t xml:space="preserve">Electricity storage facilities and related infrastructure to improve the stability of the Polish electricity grid. </t>
  </si>
  <si>
    <t>Final beneficiaries up to date:
- Stoen Operator; 
- Energa Operator; 
- PGE Dystrybucja;
- TAURON Dystrybucja S.A.;
- ENEA Operator Sp. z o.o.</t>
  </si>
  <si>
    <t>Final beneficiaries up to date:
- ENEA Operator; 
- STOEN Operator; 
- ENERGA Operator; 
- PGE Dystrybucja;
- TAURON Dystrybucja S.A.</t>
  </si>
  <si>
    <t>Final beneficiaries up to date:
- Velvet Care Sp.z o.o.;
- QEMETICA Soda Polska Spółka Akcyjna</t>
  </si>
  <si>
    <t>Final beneficiaries up to date:
- Okregowe Przedsiębiorstwo Energetyki Cieplnej w Puławach sp. z o.o.;
- Przedsiębiorstwo Energetyki Cieplnej Sp. z o.o. Bełchatów;
- Przedsiębiorstwo Energetyki Cieplnej "PEC" Sp. z o.o. (Kwidzyn);
- Veolia Energia Warszawa S.A.;
- Lubelskie Przedsiębiorstwo Energetyki Cieplnej z o.o. Lublin;
- U&amp;R Calor Sp z o.o.;
- CALOR Energetyka Cieplna Sp. z o.o. ;
- Przedsiębiorstwo Energetyki Cieplnej - GLIWICE sp. z o. o.;
- Przedsiębiorstwo Energetyki Cieplnej w Gnieźnie Sp. z o.o. </t>
  </si>
  <si>
    <t xml:space="preserve">Final beneficiaries up to date:
- PGE Dystrybucja 
- Stoen Operator Sp. z o.o. </t>
  </si>
  <si>
    <t>Final beneficiaries up to date:
- Enea Ciepło Spółka z ograniczoną odpowiedzialnością;
- Elektrociepłownia "Zielona Góra" Spółka Akcyjna</t>
  </si>
  <si>
    <t>Final beneficiaries up to date: 
- Sanockie Przedsiębiorstwo Gospodarki Komunalnej Sp. z o.o.</t>
  </si>
  <si>
    <t>Beneficiaries of the programme: entrepreneurs within the meaning of the Act of 6 March 2018 – Entrepreneurs' Law, who have their registered office or branch in the territory of the Republic of Poland.</t>
  </si>
  <si>
    <t>List of concluded contracts (Final Beneficiaries):
https://www.gov.pl/web/funduszmodernizacyjny/zawarte-umowy</t>
  </si>
  <si>
    <t xml:space="preserve">Beneficiaries of the programme: entrepreneurs within the meaning of the Act of 6 March 2018 – Entrepreneurs' Law, </t>
  </si>
  <si>
    <t>Beneficiaries of the programme: distribution system operators (DSOs) – electricity distribution system operators within the meaning of Article 3(25) of the Act of 10 April 1997 – Energy Law</t>
  </si>
  <si>
    <t>n/a</t>
  </si>
  <si>
    <t>YES (applicant's statement and documents confirming payments)</t>
  </si>
  <si>
    <t xml:space="preserve"> YES, 2023</t>
  </si>
  <si>
    <t>NO</t>
  </si>
  <si>
    <t>calls for proposals: 2
wnioski o dofinansowanie: 
9 preliminary applications / 2 applications for funding
agreements concluded: 1</t>
  </si>
  <si>
    <t>calls for proposals: 3
project proposals: 10
agreements concluded: 9</t>
  </si>
  <si>
    <t>Calls for proposals: 4 project proposals: 16 agreements concluded: 7</t>
  </si>
  <si>
    <t>Calls for proposals: 1 project proposals: 18 agreements concluded: 0</t>
  </si>
  <si>
    <t>calls for proposals: 1 (second call for proposals planned in Q1 2025) applications for co-financing: 26 concluded agreements: 4</t>
  </si>
  <si>
    <t>Calls for proposals: 1 Applications for funding: 8 agreements concluded: 2</t>
  </si>
  <si>
    <t>calls for proposals: 2 applications for funding: 71 concluded agreements: 15</t>
  </si>
  <si>
    <t>Calls for proposals: 1 Applications for funding: 5 agreements concluded: 2</t>
  </si>
  <si>
    <t>calls for proposals: 1 (second call for proposals planned in Q1 2025) applications for co-financing: 31 concluded agreements: 2</t>
  </si>
  <si>
    <t>Calls for proposals: 1 Applications for funding: 55 agreements concluded: 2</t>
  </si>
  <si>
    <t>Calls for proposals: 1 project proposals: 70 agreements concluded: 0</t>
  </si>
  <si>
    <t>Calls for proposals: 1 project proposals: 31,163 agreements concluded: 27,784</t>
  </si>
  <si>
    <t>Calls for proposals: 1 Applications for funding: 235 agreements concluded: 165</t>
  </si>
  <si>
    <t>Calls for proposals: 2 project proposals: 7 agreements concluded: 2</t>
  </si>
  <si>
    <t>Calls for proposals: 1 project proposals: 78 agreements concluded: 36</t>
  </si>
  <si>
    <t>Calls for proposals: 2 project proposals: 5 agreements concluded: 1</t>
  </si>
  <si>
    <t>Calls for proposals: 1 project proposals: 370 agreements concluded: 63</t>
  </si>
  <si>
    <t>Calls for proposals: planned call for proposals in Q1 2025 project proposals: 0 agreements concluded: 0</t>
  </si>
  <si>
    <t>Yes - explanation in the report text</t>
  </si>
  <si>
    <t>to be specified 
(due to ongoing new EU ETS provisions process)</t>
  </si>
  <si>
    <t>call for proposals/ application selection criteria / beneficiary statement</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</si>
  <si>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</si>
  <si>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</si>
  <si>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</si>
  <si>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</si>
  <si>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</si>
  <si>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</si>
  <si>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1.4 Summary description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</si>
  <si>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</si>
  <si>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</si>
  <si>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</si>
  <si>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</si>
  <si>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</si>
  <si>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</si>
  <si>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</si>
  <si>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</si>
  <si>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</si>
  <si>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NFWMEP</t>
  </si>
  <si>
    <t>to be specified</t>
  </si>
  <si>
    <t>There is no state aid</t>
  </si>
  <si>
    <t>online (via website)</t>
  </si>
  <si>
    <t>The program will in particular support the following activities: 1) purchase of remote reading meters - AMI smart meters, 2) installation of meters, modernization and adaptation of the energy network infrastructure allowing for the service, management and proper use of the purchased meters. Investments are to serve the creation of software for conducting network efficiency analyses, reports on savings, statistics, losses and to enable the adaptation of the system to the newly established central energy market information system, used to provide energy distribution services on the basis of equal treatment of all recipients and entrepreneurs involved in the sale of energy.</t>
  </si>
  <si>
    <t>Construction of new, expansion or modernization of existing biomass fermentation installations</t>
  </si>
  <si>
    <t>The programme will contribute to obtaining additional capacity to generate electricity and heat in high-efficiency cogeneration conditions, will reduce CO2 emissions and reduce primary energy consumption.</t>
  </si>
  <si>
    <t>Improving energy efficiency in energy-intensive industries, building installations for the recovery of technological heat and its further use in technology; improving energy efficiency, which results in the reduction of the consumption of electricity drawn from the KSE network, including the construction of IT systems for the supervision of energy consumption, production and storage with a management optimization function.</t>
  </si>
  <si>
    <t>Distribution System Operators (DSOs) - electricity distribution system operators</t>
  </si>
  <si>
    <t>Entrepreneurs within the meaning of the Act of 6 March 2018 - Entrepreneurs' Law</t>
  </si>
  <si>
    <t>Enterprises, combined heat and power plants, heating plants of not less than 50 MWt - ordered capacity of the system (thermal energy) generating units with a total installed capacity of not less than 1 MW.</t>
  </si>
  <si>
    <t>Entrepreneurs within the meaning of the Act of 6 March 2018 - Entrepreneurs' Law (Journal of Laws of 2021, item 162, as amended) having legal title to an installation covered by the greenhouse gas emission allowance trading scheme within the meaning of the Act of 12 June 2015 on the greenhouse gas emission allowance trading scheme</t>
  </si>
  <si>
    <t>The investment proposal is in line with the National Energy and Climate Plan for 2021-2030, especially with regard to the five main dimensions of the Energy Union: - decarbonisation - energy efficiency - energy security - internal energy market - research, innovation and competitiveness</t>
  </si>
  <si>
    <t xml:space="preserve"> consultations closed on 25 April - response is being developed - will be published on the website immediately</t>
  </si>
  <si>
    <t xml:space="preserve">Improving energy security through the use of biomethane </t>
  </si>
  <si>
    <t xml:space="preserve">Cogeneration for District Heating – Part II (increase in the budget of the existing scheme)
</t>
  </si>
  <si>
    <t xml:space="preserve">Smart energy infrastructure  (increase in the budget of the existing scheme)
</t>
  </si>
  <si>
    <t>Energy-intensive industry - improving energy efficiency  (increase in the budget of the existing scheme)</t>
  </si>
  <si>
    <t>2222
(01.01.2024)</t>
  </si>
  <si>
    <t>444444 
(27.06.2024)</t>
  </si>
  <si>
    <r>
      <rPr>
        <u/>
        <sz val="11"/>
        <color rgb="FF000000"/>
        <rFont val="Calibri"/>
        <family val="2"/>
        <charset val="238"/>
        <scheme val="minor"/>
      </rPr>
      <t xml:space="preserve">This template for annual reports provides 3 worksheets:
</t>
    </r>
    <r>
      <rPr>
        <sz val="11"/>
        <color rgb="FF000000"/>
        <rFont val="Calibri"/>
        <family val="2"/>
        <charset val="238"/>
        <scheme val="minor"/>
      </rPr>
      <t xml:space="preserve">
1. The worksheet labeled</t>
    </r>
    <r>
      <rPr>
        <i/>
        <sz val="11"/>
        <color rgb="FF000000"/>
        <rFont val="Calibri"/>
        <family val="2"/>
        <charset val="238"/>
        <scheme val="minor"/>
      </rPr>
      <t xml:space="preserve"> </t>
    </r>
    <r>
      <rPr>
        <b/>
        <i/>
        <sz val="11"/>
        <color rgb="FF000000"/>
        <rFont val="Calibri"/>
        <family val="2"/>
        <charset val="238"/>
        <scheme val="minor"/>
      </rPr>
      <t>'Introduction'</t>
    </r>
    <r>
      <rPr>
        <sz val="11"/>
        <color rgb="FF000000"/>
        <rFont val="Calibri"/>
        <family val="2"/>
        <charset val="238"/>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238"/>
        <scheme val="minor"/>
      </rPr>
      <t>'Annual Report'</t>
    </r>
    <r>
      <rPr>
        <sz val="11"/>
        <color rgb="FF000000"/>
        <rFont val="Calibri"/>
        <family val="2"/>
        <charset val="238"/>
        <scheme val="minor"/>
      </rPr>
      <t xml:space="preserve"> you will find a request for information according to </t>
    </r>
    <r>
      <rPr>
        <b/>
        <sz val="11"/>
        <color rgb="FF000000"/>
        <rFont val="Calibri"/>
        <family val="2"/>
        <charset val="238"/>
        <scheme val="minor"/>
      </rPr>
      <t>Annex II of the Implementing Regulation (EU) 2020/1001</t>
    </r>
    <r>
      <rPr>
        <sz val="11"/>
        <color rgb="FF000000"/>
        <rFont val="Calibri"/>
        <family val="2"/>
        <charset val="238"/>
        <scheme val="minor"/>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</si>
</sst>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
    <numFmt numFmtId="165" formatCode="0.00\ &quot;MWh&quot;"/>
    <numFmt numFmtId="166" formatCode="0.00\ &quot;MW&quot;\ "/>
    <numFmt numFmtId="167" formatCode="0.00\ &quot;tCO2&quot;\ "/>
    <numFmt numFmtId="168" formatCode="0\ &quot;MWh&quot;"/>
    <numFmt numFmtId="169" formatCode="#,##0\ &quot;tCO2&quot;"/>
    <numFmt numFmtId="170" formatCode="#,##0\ &quot;MWh&quot;"/>
    <numFmt numFmtId="171" formatCode="#,##0\ &quot;€/tCO2&quot;"/>
    <numFmt numFmtId="172" formatCode="#,##0\ &quot;tCO2&quot;\ "/>
  </numFmts>
  <fonts count="37"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sz val="16"/>
      <color theme="1"/>
      <name val="Calibri"/>
      <family val="2"/>
      <scheme val="minor"/>
    </font>
    <font>
      <sz val="12"/>
      <name val="Calibri"/>
      <family val="2"/>
      <charset val="238"/>
      <scheme val="minor"/>
    </font>
    <font>
      <sz val="10"/>
      <color theme="1"/>
      <name val="Calibri"/>
      <family val="2"/>
      <charset val="238"/>
      <scheme val="minor"/>
    </font>
    <font>
      <sz val="11"/>
      <color rgb="FF000000"/>
      <name val="Calibri"/>
      <family val="2"/>
      <charset val="238"/>
      <scheme val="minor"/>
    </font>
    <font>
      <u/>
      <sz val="11"/>
      <color rgb="FF000000"/>
      <name val="Calibri"/>
      <family val="2"/>
      <charset val="238"/>
      <scheme val="minor"/>
    </font>
    <font>
      <i/>
      <sz val="11"/>
      <color rgb="FF000000"/>
      <name val="Calibri"/>
      <family val="2"/>
      <charset val="238"/>
      <scheme val="minor"/>
    </font>
    <font>
      <b/>
      <i/>
      <sz val="11"/>
      <color rgb="FF000000"/>
      <name val="Calibri"/>
      <family val="2"/>
      <charset val="238"/>
      <scheme val="minor"/>
    </font>
    <font>
      <b/>
      <sz val="11"/>
      <color rgb="FF000000"/>
      <name val="Calibri"/>
      <family val="2"/>
      <charset val="238"/>
      <scheme val="minor"/>
    </font>
    <font>
      <sz val="12"/>
      <color rgb="FF000000"/>
      <name val="Calibri"/>
      <family val="2"/>
      <charset val="238"/>
      <scheme val="minor"/>
    </font>
  </fonts>
  <fills count="12">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3" fillId="0" borderId="0"/>
    <xf numFmtId="0" fontId="5" fillId="0" borderId="0" applyNumberFormat="0" applyFill="0" applyBorder="0" applyAlignment="0" applyProtection="0"/>
    <xf numFmtId="0" fontId="23" fillId="0" borderId="0"/>
  </cellStyleXfs>
  <cellXfs count="196">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0" xfId="1" applyFont="1" applyFill="1" applyBorder="1" applyAlignment="1">
      <alignment vertical="top" wrapText="1"/>
    </xf>
    <xf numFmtId="0" fontId="10" fillId="2" borderId="7" xfId="0" applyFont="1" applyFill="1" applyBorder="1" applyAlignment="1">
      <alignment horizontal="center" vertical="center" wrapText="1"/>
    </xf>
    <xf numFmtId="4" fontId="0" fillId="0" borderId="0" xfId="0" applyNumberFormat="1"/>
    <xf numFmtId="164" fontId="0" fillId="0" borderId="0" xfId="0" applyNumberFormat="1"/>
    <xf numFmtId="0" fontId="10" fillId="2" borderId="27" xfId="0" applyFont="1" applyFill="1" applyBorder="1" applyAlignment="1">
      <alignment horizontal="center" vertical="center" wrapText="1"/>
    </xf>
    <xf numFmtId="0" fontId="0" fillId="10" borderId="22" xfId="0" applyFill="1" applyBorder="1"/>
    <xf numFmtId="0" fontId="0" fillId="10" borderId="5" xfId="0" applyFill="1" applyBorder="1"/>
    <xf numFmtId="4" fontId="0" fillId="0" borderId="16" xfId="0" applyNumberFormat="1" applyBorder="1"/>
    <xf numFmtId="0" fontId="10" fillId="0" borderId="6" xfId="0" applyFont="1" applyBorder="1" applyAlignment="1">
      <alignment horizontal="left" vertical="center" wrapText="1"/>
    </xf>
    <xf numFmtId="0" fontId="10" fillId="10" borderId="30"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2"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2" fillId="0" borderId="0" xfId="0" applyFont="1"/>
    <xf numFmtId="0" fontId="11" fillId="7" borderId="15"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1" fillId="7" borderId="14" xfId="0" applyFont="1" applyFill="1" applyBorder="1" applyAlignment="1">
      <alignment horizontal="center" vertical="center" wrapText="1"/>
    </xf>
    <xf numFmtId="164" fontId="10" fillId="0" borderId="6" xfId="0" applyNumberFormat="1" applyFont="1" applyBorder="1" applyAlignment="1">
      <alignment horizontal="center" vertical="center" wrapText="1"/>
    </xf>
    <xf numFmtId="164" fontId="10" fillId="0" borderId="30"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5" fillId="0" borderId="6" xfId="2" applyBorder="1" applyAlignment="1">
      <alignment horizontal="center" wrapText="1"/>
    </xf>
    <xf numFmtId="0" fontId="10" fillId="0" borderId="6" xfId="0" applyFont="1" applyBorder="1" applyAlignment="1">
      <alignment horizontal="center" vertical="center" wrapText="1"/>
    </xf>
    <xf numFmtId="4" fontId="10" fillId="0" borderId="6" xfId="0" applyNumberFormat="1" applyFont="1" applyBorder="1" applyAlignment="1">
      <alignment horizontal="center" vertical="center" wrapText="1"/>
    </xf>
    <xf numFmtId="0" fontId="10" fillId="2" borderId="29" xfId="0" applyFont="1" applyFill="1" applyBorder="1" applyAlignment="1">
      <alignment horizontal="center" vertical="center" wrapText="1"/>
    </xf>
    <xf numFmtId="0" fontId="10" fillId="0" borderId="30" xfId="0" applyFont="1" applyBorder="1" applyAlignment="1">
      <alignment horizontal="center" vertical="center" wrapText="1"/>
    </xf>
    <xf numFmtId="0" fontId="5" fillId="0" borderId="6" xfId="2" applyBorder="1" applyAlignment="1">
      <alignment horizontal="center" vertical="center" wrapText="1"/>
    </xf>
    <xf numFmtId="0" fontId="5" fillId="0" borderId="30" xfId="2" applyBorder="1" applyAlignment="1">
      <alignment horizontal="center" vertical="center" wrapText="1"/>
    </xf>
    <xf numFmtId="4" fontId="10" fillId="0" borderId="29" xfId="0" applyNumberFormat="1" applyFont="1" applyBorder="1" applyAlignment="1">
      <alignment horizontal="center" vertical="center"/>
    </xf>
    <xf numFmtId="4" fontId="10" fillId="0" borderId="30" xfId="0" applyNumberFormat="1" applyFont="1" applyBorder="1" applyAlignment="1">
      <alignment horizontal="center" vertical="center" wrapText="1"/>
    </xf>
    <xf numFmtId="0" fontId="10" fillId="0" borderId="30" xfId="0" applyFont="1" applyBorder="1" applyAlignment="1">
      <alignment horizontal="left" vertical="center" wrapText="1"/>
    </xf>
    <xf numFmtId="0" fontId="10" fillId="2" borderId="36" xfId="0" applyFont="1" applyFill="1" applyBorder="1" applyAlignment="1">
      <alignment horizontal="center" vertical="center" wrapText="1"/>
    </xf>
    <xf numFmtId="0" fontId="10" fillId="2" borderId="25" xfId="0" applyFont="1" applyFill="1" applyBorder="1" applyAlignment="1">
      <alignment horizontal="center" vertical="center" wrapText="1"/>
    </xf>
    <xf numFmtId="4" fontId="10" fillId="0" borderId="6" xfId="0" applyNumberFormat="1" applyFont="1" applyBorder="1" applyAlignment="1">
      <alignment horizontal="center" vertical="top" wrapText="1"/>
    </xf>
    <xf numFmtId="4" fontId="10" fillId="0" borderId="7" xfId="0" applyNumberFormat="1" applyFont="1" applyBorder="1" applyAlignment="1">
      <alignment horizontal="center" vertical="center"/>
    </xf>
    <xf numFmtId="4" fontId="10" fillId="0" borderId="25"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6" xfId="2" applyFill="1" applyBorder="1" applyAlignment="1">
      <alignment horizontal="center" vertical="center" wrapText="1"/>
    </xf>
    <xf numFmtId="0" fontId="5" fillId="0" borderId="34" xfId="2" applyFill="1" applyBorder="1" applyAlignment="1">
      <alignment horizontal="center" vertical="center" wrapText="1"/>
    </xf>
    <xf numFmtId="164" fontId="10" fillId="0" borderId="29" xfId="0" applyNumberFormat="1" applyFont="1" applyBorder="1" applyAlignment="1">
      <alignment horizontal="center" vertical="center"/>
    </xf>
    <xf numFmtId="164" fontId="10" fillId="0" borderId="30"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6" xfId="0" applyNumberFormat="1" applyFont="1" applyBorder="1" applyAlignment="1">
      <alignment horizontal="center" vertical="center"/>
    </xf>
    <xf numFmtId="165" fontId="10" fillId="0" borderId="6" xfId="0" applyNumberFormat="1" applyFont="1" applyBorder="1" applyAlignment="1">
      <alignment horizontal="center" vertical="center"/>
    </xf>
    <xf numFmtId="165" fontId="10" fillId="0" borderId="30" xfId="0" applyNumberFormat="1" applyFont="1" applyBorder="1" applyAlignment="1">
      <alignment horizontal="center" vertical="center"/>
    </xf>
    <xf numFmtId="165" fontId="10" fillId="0" borderId="32" xfId="0" applyNumberFormat="1" applyFont="1" applyBorder="1" applyAlignment="1">
      <alignment horizontal="center" vertical="center"/>
    </xf>
    <xf numFmtId="165" fontId="10" fillId="0" borderId="23" xfId="0" applyNumberFormat="1" applyFont="1" applyBorder="1" applyAlignment="1">
      <alignment horizontal="center" vertical="center"/>
    </xf>
    <xf numFmtId="165" fontId="10" fillId="0" borderId="23" xfId="0" applyNumberFormat="1" applyFont="1" applyBorder="1" applyAlignment="1">
      <alignment horizontal="center" vertical="center" wrapText="1"/>
    </xf>
    <xf numFmtId="164" fontId="29" fillId="0" borderId="30" xfId="0" applyNumberFormat="1" applyFont="1" applyBorder="1" applyAlignment="1">
      <alignment horizontal="center" vertical="center"/>
    </xf>
    <xf numFmtId="164" fontId="29" fillId="0" borderId="6" xfId="0" applyNumberFormat="1" applyFont="1" applyBorder="1" applyAlignment="1">
      <alignment horizontal="center" vertical="center"/>
    </xf>
    <xf numFmtId="164" fontId="29" fillId="10" borderId="6" xfId="0" applyNumberFormat="1" applyFont="1" applyFill="1" applyBorder="1" applyAlignment="1">
      <alignment horizontal="center" vertical="center"/>
    </xf>
    <xf numFmtId="164" fontId="10" fillId="10" borderId="6" xfId="0" applyNumberFormat="1" applyFont="1" applyFill="1" applyBorder="1" applyAlignment="1">
      <alignment horizontal="center" vertical="center"/>
    </xf>
    <xf numFmtId="0" fontId="5" fillId="10" borderId="6" xfId="2" applyFill="1" applyBorder="1" applyAlignment="1">
      <alignment horizontal="center" wrapText="1"/>
    </xf>
    <xf numFmtId="0" fontId="5" fillId="10" borderId="6" xfId="2" applyFill="1" applyBorder="1" applyAlignment="1">
      <alignment horizontal="center" vertical="center" wrapText="1"/>
    </xf>
    <xf numFmtId="0" fontId="5" fillId="0" borderId="0" xfId="2" applyAlignment="1">
      <alignment horizontal="justify" vertical="center"/>
    </xf>
    <xf numFmtId="0" fontId="30" fillId="0" borderId="0" xfId="0" applyFont="1" applyAlignment="1">
      <alignment vertical="center"/>
    </xf>
    <xf numFmtId="14" fontId="10" fillId="0" borderId="14" xfId="0" applyNumberFormat="1" applyFont="1" applyBorder="1" applyAlignment="1">
      <alignment horizontal="center" vertical="center"/>
    </xf>
    <xf numFmtId="164" fontId="29" fillId="0" borderId="6" xfId="0" applyNumberFormat="1" applyFont="1" applyBorder="1" applyAlignment="1">
      <alignment horizontal="center" vertical="center" wrapText="1"/>
    </xf>
    <xf numFmtId="164" fontId="29" fillId="0" borderId="34" xfId="0" applyNumberFormat="1" applyFont="1" applyBorder="1" applyAlignment="1">
      <alignment horizontal="center" vertical="center" wrapText="1"/>
    </xf>
    <xf numFmtId="164" fontId="29" fillId="0" borderId="30" xfId="0" applyNumberFormat="1" applyFont="1" applyBorder="1" applyAlignment="1">
      <alignment horizontal="center" vertical="center" wrapText="1"/>
    </xf>
    <xf numFmtId="166" fontId="10" fillId="0" borderId="6" xfId="0" applyNumberFormat="1" applyFont="1" applyBorder="1" applyAlignment="1">
      <alignment horizontal="center" vertical="center"/>
    </xf>
    <xf numFmtId="14" fontId="10" fillId="0" borderId="40" xfId="0" applyNumberFormat="1" applyFont="1" applyBorder="1" applyAlignment="1">
      <alignment horizontal="center" vertical="center"/>
    </xf>
    <xf numFmtId="14" fontId="10" fillId="0" borderId="26" xfId="0" applyNumberFormat="1" applyFont="1" applyBorder="1" applyAlignment="1">
      <alignment horizontal="center" vertical="center"/>
    </xf>
    <xf numFmtId="167" fontId="10" fillId="0" borderId="6" xfId="0" applyNumberFormat="1" applyFont="1" applyBorder="1" applyAlignment="1">
      <alignment horizontal="center" vertical="center"/>
    </xf>
    <xf numFmtId="166" fontId="10" fillId="10" borderId="6" xfId="0" applyNumberFormat="1" applyFont="1" applyFill="1" applyBorder="1" applyAlignment="1">
      <alignment horizontal="center" vertical="center"/>
    </xf>
    <xf numFmtId="167" fontId="10" fillId="10" borderId="6" xfId="0" applyNumberFormat="1" applyFont="1" applyFill="1" applyBorder="1" applyAlignment="1">
      <alignment horizontal="center" vertical="center"/>
    </xf>
    <xf numFmtId="0" fontId="29" fillId="0" borderId="30" xfId="0" applyFont="1" applyBorder="1" applyAlignment="1">
      <alignment horizontal="center" vertical="center" wrapText="1"/>
    </xf>
    <xf numFmtId="4" fontId="29" fillId="0" borderId="30" xfId="0" applyNumberFormat="1" applyFont="1" applyBorder="1" applyAlignment="1">
      <alignment horizontal="center" vertical="top" wrapText="1"/>
    </xf>
    <xf numFmtId="4" fontId="29" fillId="0" borderId="6" xfId="0" applyNumberFormat="1" applyFont="1" applyBorder="1" applyAlignment="1">
      <alignment horizontal="center" vertical="top" wrapText="1"/>
    </xf>
    <xf numFmtId="0" fontId="1" fillId="7" borderId="0" xfId="1" applyFont="1" applyFill="1"/>
    <xf numFmtId="0" fontId="10" fillId="10" borderId="35" xfId="0" applyFont="1" applyFill="1" applyBorder="1" applyAlignment="1">
      <alignment horizontal="center" vertical="center" wrapText="1"/>
    </xf>
    <xf numFmtId="165" fontId="36" fillId="0" borderId="23" xfId="0" applyNumberFormat="1" applyFont="1" applyBorder="1" applyAlignment="1">
      <alignment horizontal="center" vertical="center"/>
    </xf>
    <xf numFmtId="0" fontId="10" fillId="11" borderId="7"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23" xfId="0" applyFont="1" applyFill="1" applyBorder="1" applyAlignment="1">
      <alignment horizontal="center" vertical="center" wrapText="1"/>
    </xf>
    <xf numFmtId="164" fontId="29" fillId="11" borderId="6" xfId="0" applyNumberFormat="1" applyFont="1" applyFill="1" applyBorder="1" applyAlignment="1">
      <alignment horizontal="center" vertical="center" wrapText="1"/>
    </xf>
    <xf numFmtId="0" fontId="10" fillId="11" borderId="30" xfId="0" applyFont="1" applyFill="1" applyBorder="1" applyAlignment="1">
      <alignment horizontal="center" vertical="center" wrapText="1"/>
    </xf>
    <xf numFmtId="0" fontId="0" fillId="11" borderId="0" xfId="0" applyFill="1"/>
    <xf numFmtId="164" fontId="10" fillId="11" borderId="6" xfId="0" applyNumberFormat="1" applyFont="1" applyFill="1" applyBorder="1" applyAlignment="1">
      <alignment horizontal="center" vertical="center" wrapText="1"/>
    </xf>
    <xf numFmtId="0" fontId="10" fillId="11" borderId="25" xfId="0" applyFont="1" applyFill="1" applyBorder="1" applyAlignment="1">
      <alignment horizontal="center" vertical="center" wrapText="1"/>
    </xf>
    <xf numFmtId="4" fontId="10" fillId="11" borderId="29" xfId="0" applyNumberFormat="1" applyFont="1" applyFill="1" applyBorder="1" applyAlignment="1">
      <alignment horizontal="center" vertical="center"/>
    </xf>
    <xf numFmtId="4" fontId="10" fillId="11" borderId="30" xfId="0" applyNumberFormat="1" applyFont="1" applyFill="1" applyBorder="1" applyAlignment="1">
      <alignment horizontal="center" vertical="center" wrapText="1"/>
    </xf>
    <xf numFmtId="0" fontId="10" fillId="11" borderId="6" xfId="0" applyFont="1" applyFill="1" applyBorder="1" applyAlignment="1">
      <alignment horizontal="left" vertical="center" wrapText="1"/>
    </xf>
    <xf numFmtId="4" fontId="29" fillId="11" borderId="6" xfId="0" applyNumberFormat="1" applyFont="1" applyFill="1" applyBorder="1" applyAlignment="1">
      <alignment horizontal="center" vertical="top" wrapText="1"/>
    </xf>
    <xf numFmtId="165" fontId="36" fillId="11" borderId="23" xfId="0" applyNumberFormat="1" applyFont="1" applyFill="1" applyBorder="1" applyAlignment="1">
      <alignment horizontal="center" vertical="center"/>
    </xf>
    <xf numFmtId="0" fontId="10" fillId="0" borderId="27" xfId="0" applyFont="1" applyBorder="1" applyAlignment="1">
      <alignment horizontal="center" vertical="center" wrapText="1"/>
    </xf>
    <xf numFmtId="0" fontId="10" fillId="0" borderId="32" xfId="0" applyFont="1" applyBorder="1" applyAlignment="1">
      <alignment horizontal="center" vertical="center" wrapText="1"/>
    </xf>
    <xf numFmtId="0" fontId="10" fillId="10" borderId="27" xfId="0" applyFont="1" applyFill="1" applyBorder="1" applyAlignment="1">
      <alignment horizontal="center" vertical="center" wrapText="1"/>
    </xf>
    <xf numFmtId="164" fontId="10" fillId="10" borderId="7" xfId="0" applyNumberFormat="1" applyFont="1" applyFill="1" applyBorder="1" applyAlignment="1">
      <alignment horizontal="center" vertical="center"/>
    </xf>
    <xf numFmtId="165" fontId="10" fillId="10" borderId="23" xfId="0" applyNumberFormat="1" applyFont="1" applyFill="1" applyBorder="1" applyAlignment="1">
      <alignment horizontal="center" vertical="center"/>
    </xf>
    <xf numFmtId="14" fontId="10" fillId="10" borderId="26" xfId="0" applyNumberFormat="1" applyFont="1" applyFill="1" applyBorder="1" applyAlignment="1">
      <alignment horizontal="center" vertical="center"/>
    </xf>
    <xf numFmtId="164" fontId="29" fillId="10" borderId="6" xfId="0" applyNumberFormat="1" applyFont="1" applyFill="1" applyBorder="1" applyAlignment="1">
      <alignment horizontal="center" vertical="center" wrapText="1"/>
    </xf>
    <xf numFmtId="0" fontId="0" fillId="10" borderId="0" xfId="0" applyFill="1"/>
    <xf numFmtId="4" fontId="11" fillId="7" borderId="15" xfId="0" applyNumberFormat="1" applyFont="1" applyFill="1" applyBorder="1" applyAlignment="1">
      <alignment horizontal="center" vertical="center" wrapText="1"/>
    </xf>
    <xf numFmtId="3" fontId="11" fillId="7" borderId="15" xfId="0" applyNumberFormat="1" applyFont="1" applyFill="1" applyBorder="1" applyAlignment="1">
      <alignment horizontal="center" vertical="center" wrapText="1"/>
    </xf>
    <xf numFmtId="3" fontId="0" fillId="0" borderId="0" xfId="0" applyNumberFormat="1"/>
    <xf numFmtId="169" fontId="10" fillId="10" borderId="30" xfId="0" applyNumberFormat="1" applyFont="1" applyFill="1" applyBorder="1" applyAlignment="1">
      <alignment horizontal="center" vertical="center"/>
    </xf>
    <xf numFmtId="170" fontId="10" fillId="0" borderId="29" xfId="0" applyNumberFormat="1" applyFont="1" applyBorder="1" applyAlignment="1">
      <alignment horizontal="center" vertical="center"/>
    </xf>
    <xf numFmtId="168" fontId="10" fillId="10" borderId="29" xfId="0" applyNumberFormat="1" applyFont="1" applyFill="1" applyBorder="1" applyAlignment="1">
      <alignment horizontal="center" vertical="center"/>
    </xf>
    <xf numFmtId="171" fontId="10" fillId="0" borderId="6" xfId="0" applyNumberFormat="1" applyFont="1" applyBorder="1" applyAlignment="1">
      <alignment horizontal="center" vertical="center"/>
    </xf>
    <xf numFmtId="170" fontId="10" fillId="0" borderId="23" xfId="0" applyNumberFormat="1" applyFont="1" applyBorder="1" applyAlignment="1">
      <alignment horizontal="center" vertical="center"/>
    </xf>
    <xf numFmtId="172" fontId="10" fillId="0" borderId="6" xfId="0" applyNumberFormat="1" applyFont="1" applyBorder="1" applyAlignment="1">
      <alignment horizontal="center" vertical="center"/>
    </xf>
    <xf numFmtId="172" fontId="10" fillId="10" borderId="6" xfId="0" applyNumberFormat="1" applyFont="1" applyFill="1" applyBorder="1" applyAlignment="1">
      <alignment horizontal="center" vertical="center"/>
    </xf>
    <xf numFmtId="170" fontId="10" fillId="10" borderId="29" xfId="0" applyNumberFormat="1" applyFont="1" applyFill="1" applyBorder="1" applyAlignment="1">
      <alignment horizontal="center" vertical="center"/>
    </xf>
    <xf numFmtId="165" fontId="10" fillId="10" borderId="6" xfId="0" applyNumberFormat="1" applyFont="1" applyFill="1" applyBorder="1" applyAlignment="1">
      <alignment horizontal="center" vertical="center"/>
    </xf>
    <xf numFmtId="165" fontId="10" fillId="10" borderId="23" xfId="0" applyNumberFormat="1" applyFont="1" applyFill="1" applyBorder="1" applyAlignment="1">
      <alignment horizontal="center" vertical="center" wrapText="1"/>
    </xf>
    <xf numFmtId="165" fontId="10" fillId="10" borderId="7" xfId="0" applyNumberFormat="1" applyFont="1" applyFill="1" applyBorder="1" applyAlignment="1">
      <alignment horizontal="center" vertical="center"/>
    </xf>
    <xf numFmtId="171" fontId="10" fillId="10" borderId="6" xfId="0" applyNumberFormat="1" applyFont="1" applyFill="1" applyBorder="1" applyAlignment="1">
      <alignment horizontal="center" vertical="center"/>
    </xf>
    <xf numFmtId="164" fontId="10" fillId="10" borderId="6" xfId="0" applyNumberFormat="1" applyFont="1" applyFill="1" applyBorder="1" applyAlignment="1">
      <alignment horizontal="center" vertical="center" wrapText="1"/>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1"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31"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11" fillId="7" borderId="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6" xfId="0" applyFont="1" applyFill="1" applyBorder="1" applyAlignment="1">
      <alignment horizontal="center" vertical="center" wrapText="1"/>
    </xf>
    <xf numFmtId="4" fontId="11" fillId="7" borderId="1" xfId="0" applyNumberFormat="1" applyFont="1" applyFill="1" applyBorder="1" applyAlignment="1">
      <alignment horizontal="center" vertical="center" wrapText="1"/>
    </xf>
    <xf numFmtId="4" fontId="11" fillId="7" borderId="14" xfId="0" applyNumberFormat="1"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5" xfId="0" applyNumberFormat="1" applyFont="1" applyFill="1" applyBorder="1" applyAlignment="1">
      <alignment horizontal="center" vertical="center" wrapText="1"/>
    </xf>
    <xf numFmtId="164" fontId="11" fillId="7" borderId="12" xfId="0" applyNumberFormat="1" applyFont="1" applyFill="1" applyBorder="1" applyAlignment="1">
      <alignment horizontal="center" vertical="center" wrapText="1"/>
    </xf>
    <xf numFmtId="164" fontId="11" fillId="7" borderId="16" xfId="0" applyNumberFormat="1"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5" xfId="0" applyNumberFormat="1" applyFont="1" applyFill="1" applyBorder="1" applyAlignment="1">
      <alignment horizontal="center" vertical="center" wrapText="1"/>
    </xf>
    <xf numFmtId="0" fontId="1" fillId="0" borderId="13"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4" fontId="11" fillId="7" borderId="9" xfId="0" applyNumberFormat="1" applyFont="1" applyFill="1" applyBorder="1" applyAlignment="1">
      <alignment horizontal="center" vertical="center" wrapText="1"/>
    </xf>
    <xf numFmtId="0" fontId="24" fillId="6" borderId="13" xfId="0" applyFont="1" applyFill="1" applyBorder="1" applyAlignment="1">
      <alignment horizontal="center" vertical="center"/>
    </xf>
    <xf numFmtId="0" fontId="24" fillId="6" borderId="11" xfId="0" applyFont="1" applyFill="1" applyBorder="1" applyAlignment="1">
      <alignment horizontal="center" vertical="center"/>
    </xf>
    <xf numFmtId="0" fontId="24" fillId="6" borderId="10"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10" xfId="0" applyFont="1" applyFill="1" applyBorder="1" applyAlignment="1">
      <alignment horizontal="center" vertical="center"/>
    </xf>
    <xf numFmtId="0" fontId="24" fillId="8" borderId="24" xfId="0" applyFont="1" applyFill="1" applyBorder="1" applyAlignment="1">
      <alignment horizontal="center" vertical="center" wrapText="1"/>
    </xf>
    <xf numFmtId="0" fontId="24" fillId="8" borderId="0" xfId="0" applyFont="1" applyFill="1" applyAlignment="1">
      <alignment horizontal="center" vertical="center" wrapText="1"/>
    </xf>
    <xf numFmtId="0" fontId="11" fillId="7" borderId="3"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1" xfId="0" applyFont="1" applyBorder="1" applyAlignment="1">
      <alignment horizontal="center" vertical="center" wrapText="1"/>
    </xf>
    <xf numFmtId="4" fontId="11" fillId="7" borderId="41" xfId="0" applyNumberFormat="1" applyFont="1" applyFill="1" applyBorder="1" applyAlignment="1">
      <alignment horizontal="center" vertical="center" wrapText="1"/>
    </xf>
    <xf numFmtId="4" fontId="11" fillId="7" borderId="30" xfId="0" applyNumberFormat="1" applyFont="1" applyFill="1" applyBorder="1" applyAlignment="1">
      <alignment horizontal="center" vertical="center" wrapText="1"/>
    </xf>
    <xf numFmtId="4" fontId="11" fillId="7" borderId="6" xfId="0" applyNumberFormat="1" applyFont="1" applyFill="1" applyBorder="1" applyAlignment="1">
      <alignment horizontal="center" vertical="center" wrapText="1"/>
    </xf>
    <xf numFmtId="4" fontId="11" fillId="7" borderId="38" xfId="0" applyNumberFormat="1" applyFont="1" applyFill="1" applyBorder="1" applyAlignment="1">
      <alignment horizontal="center" vertical="center" wrapText="1"/>
    </xf>
    <xf numFmtId="4" fontId="24" fillId="3" borderId="22" xfId="0" applyNumberFormat="1" applyFont="1" applyFill="1" applyBorder="1" applyAlignment="1">
      <alignment horizontal="center" vertical="center"/>
    </xf>
    <xf numFmtId="4" fontId="24" fillId="3" borderId="5" xfId="0" applyNumberFormat="1"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28" xfId="0" applyFont="1" applyFill="1" applyBorder="1" applyAlignment="1">
      <alignment horizontal="center" vertical="center" wrapText="1"/>
    </xf>
    <xf numFmtId="164" fontId="11" fillId="7" borderId="32" xfId="0" applyNumberFormat="1" applyFont="1" applyFill="1" applyBorder="1" applyAlignment="1">
      <alignment horizontal="center" vertical="center" wrapText="1"/>
    </xf>
    <xf numFmtId="164" fontId="11" fillId="7" borderId="23" xfId="0" applyNumberFormat="1" applyFont="1" applyFill="1" applyBorder="1" applyAlignment="1">
      <alignment horizontal="center" vertical="center" wrapText="1"/>
    </xf>
    <xf numFmtId="164" fontId="11" fillId="7" borderId="39" xfId="0" applyNumberFormat="1" applyFont="1" applyFill="1" applyBorder="1" applyAlignment="1">
      <alignment horizontal="center" vertical="center" wrapText="1"/>
    </xf>
  </cellXfs>
  <cellStyles count="4">
    <cellStyle name="Hyperlink" xfId="2" builtinId="8"/>
    <cellStyle name="Normal" xfId="0" builtinId="0"/>
    <cellStyle name="Normal 2" xfId="3" xr:uid="{00000000-0005-0000-0000-000001000000}"/>
    <cellStyle name="Normálna 2" xfId="1" xr:uid="{00000000-0005-0000-0000-000002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2" name="Picture 10">
          <a:extLst>
            <a:ext uri="{FF2B5EF4-FFF2-40B4-BE49-F238E27FC236}">
              <a16:creationId xmlns:a16="http://schemas.microsoft.com/office/drawing/2014/main" id="{FEE45B92-5FA0-4DD5-B48E-07B6F5A68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664" y="259081"/>
          <a:ext cx="1714501" cy="107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pl/web/funduszmodernizacyjny/Programy-Priorytetowe" TargetMode="External"/><Relationship Id="rId13" Type="http://schemas.openxmlformats.org/officeDocument/2006/relationships/hyperlink" Target="https://www.gov.pl/web/funduszmodernizacyjny/Programy-Priorytetowe" TargetMode="External"/><Relationship Id="rId18" Type="http://schemas.openxmlformats.org/officeDocument/2006/relationships/hyperlink" Target="https://www.gov.pl/web/funduszmodernizacyjny/wsparcie-wykorzystania-magazynow-oraz-innych-urzadzen-na-cele-stabilizacji-sieci---program-dla-operatorow-sieci-dystrybucyjnych" TargetMode="External"/><Relationship Id="rId3" Type="http://schemas.openxmlformats.org/officeDocument/2006/relationships/hyperlink" Target="https://www.gov.pl/web/funduszmodernizacyjny/Programy-Priorytetowe" TargetMode="External"/><Relationship Id="rId21" Type="http://schemas.openxmlformats.org/officeDocument/2006/relationships/hyperlink" Target="https://www.gov.pl/web/funduszmodernizacyjny/Programy-Priorytetowe" TargetMode="External"/><Relationship Id="rId7" Type="http://schemas.openxmlformats.org/officeDocument/2006/relationships/hyperlink" Target="https://www.gov.pl/web/funduszmodernizacyjny/Programy-Priorytetowe" TargetMode="External"/><Relationship Id="rId12" Type="http://schemas.openxmlformats.org/officeDocument/2006/relationships/hyperlink" Target="https://www.gov.pl/web/funduszmodernizacyjny/Programy-Priorytetowe" TargetMode="External"/><Relationship Id="rId17" Type="http://schemas.openxmlformats.org/officeDocument/2006/relationships/hyperlink" Target="https://www.gov.pl/web/funduszmodernizacyjny/Programy-Priorytetowe" TargetMode="External"/><Relationship Id="rId25" Type="http://schemas.openxmlformats.org/officeDocument/2006/relationships/printerSettings" Target="../printerSettings/printerSettings2.bin"/><Relationship Id="rId2" Type="http://schemas.openxmlformats.org/officeDocument/2006/relationships/hyperlink" Target="https://www.gov.pl/web/funduszmodernizacyjny/Programy-Priorytetowe" TargetMode="External"/><Relationship Id="rId16" Type="http://schemas.openxmlformats.org/officeDocument/2006/relationships/hyperlink" Target="https://www.gov.pl/web/funduszmodernizacyjny/Programy-Priorytetowe" TargetMode="External"/><Relationship Id="rId20" Type="http://schemas.openxmlformats.org/officeDocument/2006/relationships/hyperlink" Target="https://www.gov.pl/web/funduszmodernizacyjny/Programy-Priorytetowe" TargetMode="External"/><Relationship Id="rId1" Type="http://schemas.openxmlformats.org/officeDocument/2006/relationships/hyperlink" Target="https://www.gov.pl/web/funduszmodernizacyjny/Programy-Priorytetowe" TargetMode="External"/><Relationship Id="rId6" Type="http://schemas.openxmlformats.org/officeDocument/2006/relationships/hyperlink" Target="https://www.gov.pl/web/funduszmodernizacyjny/Programy-Priorytetowe" TargetMode="External"/><Relationship Id="rId11" Type="http://schemas.openxmlformats.org/officeDocument/2006/relationships/hyperlink" Target="https://www.gov.pl/web/funduszmodernizacyjny/Programy-Priorytetowe" TargetMode="External"/><Relationship Id="rId24" Type="http://schemas.openxmlformats.org/officeDocument/2006/relationships/hyperlink" Target="https://www.gov.pl/web/funduszmodernizacyjny/Programy-Priorytetowe" TargetMode="External"/><Relationship Id="rId5" Type="http://schemas.openxmlformats.org/officeDocument/2006/relationships/hyperlink" Target="https://www.gov.pl/web/funduszmodernizacyjny/Programy-Priorytetowe" TargetMode="External"/><Relationship Id="rId15" Type="http://schemas.openxmlformats.org/officeDocument/2006/relationships/hyperlink" Target="https://www.gov.pl/web/funduszmodernizacyjny/Programy-Priorytetowe" TargetMode="External"/><Relationship Id="rId23" Type="http://schemas.openxmlformats.org/officeDocument/2006/relationships/hyperlink" Target="https://www.gov.pl/web/funduszmodernizacyjny/Programy-Priorytetowe" TargetMode="External"/><Relationship Id="rId10" Type="http://schemas.openxmlformats.org/officeDocument/2006/relationships/hyperlink" Target="https://www.gov.pl/web/funduszmodernizacyjny/Programy-Priorytetowe" TargetMode="External"/><Relationship Id="rId19" Type="http://schemas.openxmlformats.org/officeDocument/2006/relationships/hyperlink" Target="https://www.gov.pl/web/funduszmodernizacyjny/energia-dla-wsi2" TargetMode="External"/><Relationship Id="rId4" Type="http://schemas.openxmlformats.org/officeDocument/2006/relationships/hyperlink" Target="https://www.gov.pl/web/funduszmodernizacyjny/Programy-Priorytetowe" TargetMode="External"/><Relationship Id="rId9" Type="http://schemas.openxmlformats.org/officeDocument/2006/relationships/hyperlink" Target="https://www.gov.pl/web/funduszmodernizacyjny/Programy-Priorytetowe" TargetMode="External"/><Relationship Id="rId14" Type="http://schemas.openxmlformats.org/officeDocument/2006/relationships/hyperlink" Target="https://www.gov.pl/web/funduszmodernizacyjny/Programy-Priorytetowe" TargetMode="External"/><Relationship Id="rId22" Type="http://schemas.openxmlformats.org/officeDocument/2006/relationships/hyperlink" Target="https://www.gov.pl/web/funduszmodernizacyjny/Programy-Priorytetow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7"/>
  <sheetViews>
    <sheetView showGridLines="0" tabSelected="1" view="pageBreakPreview" topLeftCell="A2" zoomScale="74" zoomScaleNormal="74" zoomScaleSheetLayoutView="74" workbookViewId="0">
      <selection activeCell="B4" sqref="B4:C4"/>
    </sheetView>
  </sheetViews>
  <sheetFormatPr defaultColWidth="8.54296875" defaultRowHeight="14.5" customHeight="1"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54296875" style="1" hidden="1" customWidth="1"/>
    <col min="16380" max="16380" width="2.1796875" style="1" hidden="1" customWidth="1"/>
    <col min="16381" max="16381" width="7.81640625" style="1" hidden="1" customWidth="1"/>
    <col min="16382" max="16382" width="8.54296875" style="1" hidden="1" customWidth="1"/>
    <col min="16383" max="16383" width="4.453125" style="1" hidden="1" customWidth="1"/>
    <col min="16384" max="16384" width="1.54296875" style="1" hidden="1" customWidth="1"/>
  </cols>
  <sheetData>
    <row r="1" spans="1:96" x14ac:dyDescent="0.35">
      <c r="A1" s="137"/>
      <c r="B1" s="137"/>
      <c r="C1" s="137"/>
      <c r="D1" s="137"/>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37"/>
      <c r="B2" s="141" t="s">
        <v>60</v>
      </c>
      <c r="C2" s="141"/>
      <c r="D2" s="137"/>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37"/>
      <c r="B3" s="142" t="s">
        <v>61</v>
      </c>
      <c r="C3" s="142"/>
      <c r="D3" s="137"/>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37"/>
      <c r="B4" s="139" t="s">
        <v>62</v>
      </c>
      <c r="C4" s="139"/>
      <c r="D4" s="137"/>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37"/>
      <c r="B5" s="139" t="s">
        <v>63</v>
      </c>
      <c r="C5" s="139"/>
      <c r="D5" s="137"/>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82.5" customHeight="1" x14ac:dyDescent="0.35">
      <c r="A6" s="137"/>
      <c r="B6" s="143" t="s">
        <v>217</v>
      </c>
      <c r="C6" s="140"/>
      <c r="D6" s="137"/>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37"/>
      <c r="B7" s="143" t="s">
        <v>64</v>
      </c>
      <c r="C7" s="140"/>
      <c r="D7" s="137"/>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37"/>
      <c r="B8" s="140" t="s">
        <v>65</v>
      </c>
      <c r="C8" s="140"/>
      <c r="D8" s="137"/>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37"/>
      <c r="B9" s="145" t="s">
        <v>0</v>
      </c>
      <c r="C9" s="145"/>
      <c r="D9" s="137"/>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37"/>
      <c r="B10" s="144" t="s">
        <v>66</v>
      </c>
      <c r="C10" s="144"/>
      <c r="D10" s="137"/>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37"/>
      <c r="B11" s="146" t="s">
        <v>67</v>
      </c>
      <c r="C11" s="146"/>
      <c r="D11" s="137"/>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37"/>
      <c r="B12" s="20" t="s">
        <v>68</v>
      </c>
      <c r="C12" s="21" t="s">
        <v>69</v>
      </c>
      <c r="D12" s="137"/>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37"/>
      <c r="B13" s="22">
        <v>2024</v>
      </c>
      <c r="C13" s="23" t="s">
        <v>70</v>
      </c>
      <c r="D13" s="137"/>
      <c r="E13" s="97" t="s">
        <v>71</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37"/>
      <c r="B14" s="19"/>
      <c r="C14" s="3"/>
      <c r="D14" s="137"/>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37"/>
      <c r="B15" s="18"/>
      <c r="C15" s="11"/>
      <c r="D15" s="137"/>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38"/>
      <c r="B23" s="138"/>
      <c r="C23" s="138"/>
      <c r="D23" s="138"/>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2042F898-5492-43D4-AD7E-33EC8D20AA08}"/>
    <hyperlink ref="B9" r:id="rId2" xr:uid="{57F6C44D-46F7-4191-B920-49112CC53D53}"/>
  </hyperlinks>
  <pageMargins left="0.7" right="0.7" top="0.75" bottom="0.75" header="0.3" footer="0.3"/>
  <pageSetup paperSize="9" scale="40" orientation="portrait" r:id="rId3"/>
  <headerFooter>
    <oddHeader>&amp;C&amp;"Calibri"&amp;10&amp;K808080 Confidential&amp;1#_x000D_</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0"/>
  <sheetViews>
    <sheetView view="pageBreakPreview" zoomScale="60" zoomScaleNormal="60" workbookViewId="0">
      <selection activeCell="H2" sqref="H2:H4"/>
    </sheetView>
  </sheetViews>
  <sheetFormatPr defaultRowHeight="14.5" x14ac:dyDescent="0.35"/>
  <cols>
    <col min="2" max="2" width="21.453125" customWidth="1"/>
    <col min="3" max="3" width="21" customWidth="1"/>
    <col min="4" max="4" width="24.453125" customWidth="1"/>
    <col min="5" max="5" width="13" customWidth="1"/>
    <col min="6" max="6" width="14.453125" customWidth="1"/>
    <col min="7" max="7" width="16.453125" customWidth="1"/>
    <col min="8" max="8" width="30" customWidth="1"/>
    <col min="9" max="9" width="40.81640625" customWidth="1"/>
    <col min="10" max="10" width="22.1796875" customWidth="1"/>
    <col min="11" max="11" width="26.54296875" customWidth="1"/>
    <col min="12" max="12" width="19.81640625" customWidth="1"/>
    <col min="13" max="13" width="23.54296875" customWidth="1"/>
    <col min="14" max="14" width="25.81640625" customWidth="1"/>
    <col min="15" max="15" width="24.54296875" customWidth="1"/>
    <col min="16" max="16" width="25" customWidth="1"/>
    <col min="17" max="18" width="19.81640625" customWidth="1"/>
    <col min="19" max="19" width="21.54296875" bestFit="1" customWidth="1"/>
    <col min="20" max="20" width="21.453125" style="123" bestFit="1" customWidth="1"/>
    <col min="21" max="21" width="21.54296875" bestFit="1" customWidth="1"/>
    <col min="22" max="22" width="21.54296875" style="120" bestFit="1" customWidth="1"/>
    <col min="23" max="23" width="16" customWidth="1"/>
    <col min="24" max="24" width="14.54296875" customWidth="1"/>
    <col min="25" max="25" width="23" style="25" bestFit="1" customWidth="1"/>
    <col min="26" max="26" width="18.453125" customWidth="1"/>
    <col min="27" max="27" width="27.81640625" customWidth="1"/>
    <col min="28" max="28" width="33.54296875" customWidth="1"/>
    <col min="29" max="29" width="21.453125" customWidth="1"/>
    <col min="30" max="31" width="34.453125" customWidth="1"/>
    <col min="32" max="32" width="32.453125" customWidth="1"/>
    <col min="33" max="33" width="27.453125" customWidth="1"/>
    <col min="34" max="34" width="32.453125" customWidth="1"/>
  </cols>
  <sheetData>
    <row r="1" spans="1:34" ht="19.399999999999999" customHeight="1" thickBot="1" x14ac:dyDescent="0.4">
      <c r="A1" s="159" t="s">
        <v>105</v>
      </c>
      <c r="B1" s="160"/>
      <c r="C1" s="160"/>
      <c r="D1" s="160"/>
      <c r="E1" s="160"/>
      <c r="F1" s="160"/>
      <c r="G1" s="160"/>
      <c r="H1" s="160"/>
      <c r="I1" s="160"/>
      <c r="J1" s="161"/>
      <c r="K1" s="166" t="s">
        <v>106</v>
      </c>
      <c r="L1" s="167"/>
      <c r="M1" s="167"/>
      <c r="N1" s="167"/>
      <c r="O1" s="167"/>
      <c r="P1" s="167"/>
      <c r="Q1" s="167"/>
      <c r="R1" s="168"/>
      <c r="S1" s="163" t="s">
        <v>107</v>
      </c>
      <c r="T1" s="164"/>
      <c r="U1" s="164"/>
      <c r="V1" s="164"/>
      <c r="W1" s="164"/>
      <c r="X1" s="164"/>
      <c r="Y1" s="164"/>
      <c r="Z1" s="165"/>
      <c r="AA1" s="169" t="s">
        <v>108</v>
      </c>
      <c r="AB1" s="170"/>
      <c r="AC1" s="170"/>
      <c r="AD1" s="170"/>
      <c r="AE1" s="170"/>
      <c r="AF1" s="170"/>
      <c r="AG1" s="170"/>
      <c r="AH1" s="170"/>
    </row>
    <row r="2" spans="1:34" ht="64.5" customHeight="1" x14ac:dyDescent="0.35">
      <c r="A2" s="151" t="s">
        <v>72</v>
      </c>
      <c r="B2" s="153" t="s">
        <v>73</v>
      </c>
      <c r="C2" s="153" t="s">
        <v>74</v>
      </c>
      <c r="D2" s="155" t="s">
        <v>75</v>
      </c>
      <c r="E2" s="157" t="s">
        <v>76</v>
      </c>
      <c r="F2" s="153" t="s">
        <v>77</v>
      </c>
      <c r="G2" s="155" t="s">
        <v>78</v>
      </c>
      <c r="H2" s="157" t="s">
        <v>79</v>
      </c>
      <c r="I2" s="153" t="s">
        <v>80</v>
      </c>
      <c r="J2" s="153" t="s">
        <v>81</v>
      </c>
      <c r="K2" s="151" t="s">
        <v>82</v>
      </c>
      <c r="L2" s="153" t="s">
        <v>83</v>
      </c>
      <c r="M2" s="153" t="s">
        <v>84</v>
      </c>
      <c r="N2" s="155" t="s">
        <v>85</v>
      </c>
      <c r="O2" s="153" t="s">
        <v>86</v>
      </c>
      <c r="P2" s="153" t="s">
        <v>87</v>
      </c>
      <c r="Q2" s="153" t="s">
        <v>88</v>
      </c>
      <c r="R2" s="153" t="s">
        <v>89</v>
      </c>
      <c r="S2" s="176" t="s">
        <v>90</v>
      </c>
      <c r="T2" s="177"/>
      <c r="U2" s="177"/>
      <c r="V2" s="177"/>
      <c r="W2" s="177"/>
      <c r="X2" s="177"/>
      <c r="Y2" s="177"/>
      <c r="Z2" s="178"/>
      <c r="AA2" s="176" t="s">
        <v>91</v>
      </c>
      <c r="AB2" s="147" t="s">
        <v>92</v>
      </c>
      <c r="AC2" s="147" t="s">
        <v>93</v>
      </c>
      <c r="AD2" s="149" t="s">
        <v>94</v>
      </c>
      <c r="AE2" s="147" t="s">
        <v>95</v>
      </c>
      <c r="AF2" s="149" t="s">
        <v>96</v>
      </c>
      <c r="AG2" s="149" t="s">
        <v>97</v>
      </c>
      <c r="AH2" s="171" t="s">
        <v>98</v>
      </c>
    </row>
    <row r="3" spans="1:34" ht="82" customHeight="1" x14ac:dyDescent="0.35">
      <c r="A3" s="152"/>
      <c r="B3" s="154"/>
      <c r="C3" s="154"/>
      <c r="D3" s="156"/>
      <c r="E3" s="158"/>
      <c r="F3" s="154"/>
      <c r="G3" s="156"/>
      <c r="H3" s="158"/>
      <c r="I3" s="154"/>
      <c r="J3" s="154"/>
      <c r="K3" s="152"/>
      <c r="L3" s="154"/>
      <c r="M3" s="154"/>
      <c r="N3" s="156"/>
      <c r="O3" s="154"/>
      <c r="P3" s="154"/>
      <c r="Q3" s="154"/>
      <c r="R3" s="154"/>
      <c r="S3" s="173" t="s">
        <v>99</v>
      </c>
      <c r="T3" s="174"/>
      <c r="U3" s="150" t="s">
        <v>100</v>
      </c>
      <c r="V3" s="174"/>
      <c r="W3" s="150" t="s">
        <v>101</v>
      </c>
      <c r="X3" s="174"/>
      <c r="Y3" s="150" t="s">
        <v>102</v>
      </c>
      <c r="Z3" s="175"/>
      <c r="AA3" s="173"/>
      <c r="AB3" s="148"/>
      <c r="AC3" s="148"/>
      <c r="AD3" s="150"/>
      <c r="AE3" s="148"/>
      <c r="AF3" s="150"/>
      <c r="AG3" s="150"/>
      <c r="AH3" s="172"/>
    </row>
    <row r="4" spans="1:34" ht="109" thickBot="1" x14ac:dyDescent="0.4">
      <c r="A4" s="162"/>
      <c r="B4" s="154"/>
      <c r="C4" s="154"/>
      <c r="D4" s="156"/>
      <c r="E4" s="158"/>
      <c r="F4" s="154"/>
      <c r="G4" s="156"/>
      <c r="H4" s="158"/>
      <c r="I4" s="154"/>
      <c r="J4" s="154"/>
      <c r="K4" s="152"/>
      <c r="L4" s="154"/>
      <c r="M4" s="154"/>
      <c r="N4" s="156"/>
      <c r="O4" s="154"/>
      <c r="P4" s="154"/>
      <c r="Q4" s="154"/>
      <c r="R4" s="154"/>
      <c r="S4" s="43" t="s">
        <v>103</v>
      </c>
      <c r="T4" s="122" t="s">
        <v>104</v>
      </c>
      <c r="U4" s="39" t="s">
        <v>103</v>
      </c>
      <c r="V4" s="39" t="s">
        <v>104</v>
      </c>
      <c r="W4" s="39" t="s">
        <v>103</v>
      </c>
      <c r="X4" s="39" t="s">
        <v>104</v>
      </c>
      <c r="Y4" s="121" t="s">
        <v>103</v>
      </c>
      <c r="Z4" s="40" t="s">
        <v>104</v>
      </c>
      <c r="AA4" s="173"/>
      <c r="AB4" s="148"/>
      <c r="AC4" s="148"/>
      <c r="AD4" s="150"/>
      <c r="AE4" s="148"/>
      <c r="AF4" s="150"/>
      <c r="AG4" s="150"/>
      <c r="AH4" s="172"/>
    </row>
    <row r="5" spans="1:34" ht="137.5" customHeight="1" thickBot="1" x14ac:dyDescent="0.4">
      <c r="A5" s="36">
        <v>1</v>
      </c>
      <c r="B5" s="41" t="s">
        <v>19</v>
      </c>
      <c r="C5" s="32" t="s">
        <v>19</v>
      </c>
      <c r="D5" s="32" t="s">
        <v>109</v>
      </c>
      <c r="E5" s="32" t="s">
        <v>110</v>
      </c>
      <c r="F5" s="32" t="s">
        <v>111</v>
      </c>
      <c r="G5" s="32" t="s">
        <v>112</v>
      </c>
      <c r="H5" s="53" t="s">
        <v>40</v>
      </c>
      <c r="I5" s="32" t="s">
        <v>131</v>
      </c>
      <c r="J5" s="34" t="s">
        <v>70</v>
      </c>
      <c r="K5" s="67">
        <v>123000000</v>
      </c>
      <c r="L5" s="68">
        <v>100000000</v>
      </c>
      <c r="M5" s="68">
        <v>25000000</v>
      </c>
      <c r="N5" s="76">
        <f>25000000</f>
        <v>25000000</v>
      </c>
      <c r="O5" s="76">
        <f>2258796/4.5</f>
        <v>501954.66666666669</v>
      </c>
      <c r="P5" s="76">
        <f>2145856/4.5</f>
        <v>476856.88888888888</v>
      </c>
      <c r="Q5" s="72" t="s">
        <v>156</v>
      </c>
      <c r="R5" s="73" t="s">
        <v>156</v>
      </c>
      <c r="S5" s="125">
        <v>174</v>
      </c>
      <c r="T5" s="125">
        <f>550000/3.6</f>
        <v>152777.77777777778</v>
      </c>
      <c r="U5" s="124">
        <v>226</v>
      </c>
      <c r="V5" s="124">
        <v>45000</v>
      </c>
      <c r="W5" s="74" t="s">
        <v>156</v>
      </c>
      <c r="X5" s="74" t="s">
        <v>156</v>
      </c>
      <c r="Y5" s="127">
        <f>K5/U5</f>
        <v>544247.78761061945</v>
      </c>
      <c r="Z5" s="127">
        <f>K5/V5</f>
        <v>2733.3333333333335</v>
      </c>
      <c r="AA5" s="89" t="s">
        <v>158</v>
      </c>
      <c r="AB5" s="87" t="s">
        <v>160</v>
      </c>
      <c r="AC5" s="74" t="s">
        <v>156</v>
      </c>
      <c r="AD5" s="74" t="s">
        <v>156</v>
      </c>
      <c r="AE5" s="74" t="s">
        <v>156</v>
      </c>
      <c r="AF5" s="32" t="s">
        <v>179</v>
      </c>
      <c r="AG5" s="74" t="s">
        <v>156</v>
      </c>
      <c r="AH5" s="34" t="s">
        <v>180</v>
      </c>
    </row>
    <row r="6" spans="1:34" ht="140.25" customHeight="1" thickBot="1" x14ac:dyDescent="0.4">
      <c r="A6" s="27">
        <v>2</v>
      </c>
      <c r="B6" s="42" t="s">
        <v>20</v>
      </c>
      <c r="C6" s="33" t="s">
        <v>28</v>
      </c>
      <c r="D6" s="33" t="s">
        <v>113</v>
      </c>
      <c r="E6" s="33" t="s">
        <v>110</v>
      </c>
      <c r="F6" s="33" t="s">
        <v>114</v>
      </c>
      <c r="G6" s="33" t="s">
        <v>112</v>
      </c>
      <c r="H6" s="52" t="s">
        <v>40</v>
      </c>
      <c r="I6" s="33" t="s">
        <v>145</v>
      </c>
      <c r="J6" s="35" t="s">
        <v>70</v>
      </c>
      <c r="K6" s="69">
        <v>273000000</v>
      </c>
      <c r="L6" s="70">
        <v>222000000</v>
      </c>
      <c r="M6" s="70">
        <v>222000000</v>
      </c>
      <c r="N6" s="77">
        <f>44000000+178000000</f>
        <v>222000000</v>
      </c>
      <c r="O6" s="70">
        <f>761377554/4.5</f>
        <v>169195012</v>
      </c>
      <c r="P6" s="70">
        <f>254728605.9/4.5</f>
        <v>56606356.866666667</v>
      </c>
      <c r="Q6" s="71" t="s">
        <v>156</v>
      </c>
      <c r="R6" s="74" t="s">
        <v>156</v>
      </c>
      <c r="S6" s="74" t="s">
        <v>156</v>
      </c>
      <c r="T6" s="126" t="s">
        <v>156</v>
      </c>
      <c r="U6" s="124">
        <f>86022+190102</f>
        <v>276124</v>
      </c>
      <c r="V6" s="124">
        <v>362000</v>
      </c>
      <c r="W6" s="74" t="s">
        <v>156</v>
      </c>
      <c r="X6" s="74" t="s">
        <v>156</v>
      </c>
      <c r="Y6" s="127">
        <f t="shared" ref="Y6:Y23" si="0">K6/U6</f>
        <v>988.68624241282907</v>
      </c>
      <c r="Z6" s="127">
        <f t="shared" ref="Z6:Z26" si="1">K6/V6</f>
        <v>754.1436464088398</v>
      </c>
      <c r="AA6" s="90" t="s">
        <v>158</v>
      </c>
      <c r="AB6" s="85" t="s">
        <v>161</v>
      </c>
      <c r="AC6" s="74" t="s">
        <v>156</v>
      </c>
      <c r="AD6" s="74" t="s">
        <v>156</v>
      </c>
      <c r="AE6" s="74" t="s">
        <v>156</v>
      </c>
      <c r="AF6" s="32" t="s">
        <v>179</v>
      </c>
      <c r="AG6" s="74" t="s">
        <v>156</v>
      </c>
      <c r="AH6" s="34" t="s">
        <v>180</v>
      </c>
    </row>
    <row r="7" spans="1:34" ht="149.25" customHeight="1" thickBot="1" x14ac:dyDescent="0.4">
      <c r="A7" s="27">
        <v>3</v>
      </c>
      <c r="B7" s="42" t="s">
        <v>36</v>
      </c>
      <c r="C7" s="33" t="s">
        <v>37</v>
      </c>
      <c r="D7" s="33" t="s">
        <v>115</v>
      </c>
      <c r="E7" s="33" t="s">
        <v>110</v>
      </c>
      <c r="F7" s="33" t="s">
        <v>114</v>
      </c>
      <c r="G7" s="33" t="s">
        <v>112</v>
      </c>
      <c r="H7" s="52" t="s">
        <v>40</v>
      </c>
      <c r="I7" s="33" t="s">
        <v>146</v>
      </c>
      <c r="J7" s="35" t="s">
        <v>70</v>
      </c>
      <c r="K7" s="69">
        <v>455000000</v>
      </c>
      <c r="L7" s="70">
        <v>370000000</v>
      </c>
      <c r="M7" s="70">
        <v>222000000</v>
      </c>
      <c r="N7" s="77">
        <f>22000000+105000000</f>
        <v>127000000</v>
      </c>
      <c r="O7" s="77">
        <f>402175261/4.5</f>
        <v>89372280.222222224</v>
      </c>
      <c r="P7" s="70">
        <f>136724080/4.5</f>
        <v>30383128.888888888</v>
      </c>
      <c r="Q7" s="71" t="s">
        <v>156</v>
      </c>
      <c r="R7" s="74" t="s">
        <v>156</v>
      </c>
      <c r="S7" s="74" t="s">
        <v>156</v>
      </c>
      <c r="T7" s="126" t="s">
        <v>156</v>
      </c>
      <c r="U7" s="124">
        <f>394+8329+3168</f>
        <v>11891</v>
      </c>
      <c r="V7" s="124">
        <v>16800</v>
      </c>
      <c r="W7" s="74" t="s">
        <v>156</v>
      </c>
      <c r="X7" s="74" t="s">
        <v>156</v>
      </c>
      <c r="Y7" s="127">
        <f t="shared" si="0"/>
        <v>38264.233453872679</v>
      </c>
      <c r="Z7" s="127">
        <f t="shared" si="1"/>
        <v>27083.333333333332</v>
      </c>
      <c r="AA7" s="90" t="s">
        <v>158</v>
      </c>
      <c r="AB7" s="85" t="s">
        <v>162</v>
      </c>
      <c r="AC7" s="74" t="s">
        <v>156</v>
      </c>
      <c r="AD7" s="74" t="s">
        <v>156</v>
      </c>
      <c r="AE7" s="74" t="s">
        <v>156</v>
      </c>
      <c r="AF7" s="32" t="s">
        <v>179</v>
      </c>
      <c r="AG7" s="74" t="s">
        <v>156</v>
      </c>
      <c r="AH7" s="34" t="s">
        <v>180</v>
      </c>
    </row>
    <row r="8" spans="1:34" ht="102" thickBot="1" x14ac:dyDescent="0.4">
      <c r="A8" s="27">
        <v>4</v>
      </c>
      <c r="B8" s="42" t="s">
        <v>22</v>
      </c>
      <c r="C8" s="33" t="s">
        <v>42</v>
      </c>
      <c r="D8" s="33" t="s">
        <v>116</v>
      </c>
      <c r="E8" s="33" t="s">
        <v>110</v>
      </c>
      <c r="F8" s="33" t="s">
        <v>114</v>
      </c>
      <c r="G8" s="33" t="s">
        <v>112</v>
      </c>
      <c r="H8" s="80" t="s">
        <v>40</v>
      </c>
      <c r="I8" s="33" t="s">
        <v>147</v>
      </c>
      <c r="J8" s="35" t="s">
        <v>70</v>
      </c>
      <c r="K8" s="69">
        <v>546000000</v>
      </c>
      <c r="L8" s="70">
        <v>444000000</v>
      </c>
      <c r="M8" s="70">
        <v>444000000</v>
      </c>
      <c r="N8" s="77">
        <f>44440000+24700000</f>
        <v>69140000</v>
      </c>
      <c r="O8" s="70">
        <f>131804645/4.5</f>
        <v>29289921.111111112</v>
      </c>
      <c r="P8" s="70">
        <v>0</v>
      </c>
      <c r="Q8" s="44" t="s">
        <v>216</v>
      </c>
      <c r="R8" s="74" t="s">
        <v>156</v>
      </c>
      <c r="S8" s="125">
        <f>75993.89+109992.69</f>
        <v>185986.58000000002</v>
      </c>
      <c r="T8" s="125">
        <f>(16800000/3.6)*0.57</f>
        <v>2660000</v>
      </c>
      <c r="U8" s="124">
        <f>68924+218638.91</f>
        <v>287562.91000000003</v>
      </c>
      <c r="V8" s="124">
        <f>5600000*0.57</f>
        <v>3191999.9999999995</v>
      </c>
      <c r="W8" s="74" t="s">
        <v>156</v>
      </c>
      <c r="X8" s="74" t="s">
        <v>156</v>
      </c>
      <c r="Y8" s="127">
        <f t="shared" si="0"/>
        <v>1898.71496292759</v>
      </c>
      <c r="Z8" s="127">
        <f t="shared" si="1"/>
        <v>171.0526315789474</v>
      </c>
      <c r="AA8" s="90" t="s">
        <v>158</v>
      </c>
      <c r="AB8" s="85" t="s">
        <v>173</v>
      </c>
      <c r="AC8" s="74" t="s">
        <v>156</v>
      </c>
      <c r="AD8" s="74" t="s">
        <v>156</v>
      </c>
      <c r="AE8" s="74" t="s">
        <v>156</v>
      </c>
      <c r="AF8" s="32" t="s">
        <v>179</v>
      </c>
      <c r="AG8" s="74" t="s">
        <v>156</v>
      </c>
      <c r="AH8" s="34" t="s">
        <v>180</v>
      </c>
    </row>
    <row r="9" spans="1:34" ht="102" thickBot="1" x14ac:dyDescent="0.4">
      <c r="A9" s="27">
        <v>5</v>
      </c>
      <c r="B9" s="42" t="s">
        <v>35</v>
      </c>
      <c r="C9" s="33" t="s">
        <v>35</v>
      </c>
      <c r="D9" s="33" t="s">
        <v>117</v>
      </c>
      <c r="E9" s="33" t="s">
        <v>110</v>
      </c>
      <c r="F9" s="33" t="s">
        <v>114</v>
      </c>
      <c r="G9" s="33" t="s">
        <v>56</v>
      </c>
      <c r="H9" s="81" t="s">
        <v>40</v>
      </c>
      <c r="I9" s="33" t="s">
        <v>132</v>
      </c>
      <c r="J9" s="35" t="s">
        <v>70</v>
      </c>
      <c r="K9" s="69">
        <v>411000000</v>
      </c>
      <c r="L9" s="70">
        <v>334000000</v>
      </c>
      <c r="M9" s="70">
        <v>334000000</v>
      </c>
      <c r="N9" s="77">
        <f>44570000</f>
        <v>44570000</v>
      </c>
      <c r="O9" s="77">
        <v>0</v>
      </c>
      <c r="P9" s="77">
        <v>0</v>
      </c>
      <c r="Q9" s="71" t="s">
        <v>156</v>
      </c>
      <c r="R9" s="74" t="s">
        <v>156</v>
      </c>
      <c r="S9" s="74">
        <v>0</v>
      </c>
      <c r="T9" s="125">
        <f>(16800000/3.6)*0.43</f>
        <v>2006666.6666666667</v>
      </c>
      <c r="U9" s="124">
        <v>0</v>
      </c>
      <c r="V9" s="124">
        <f>5600000*0.43</f>
        <v>2408000</v>
      </c>
      <c r="W9" s="74" t="s">
        <v>156</v>
      </c>
      <c r="X9" s="74" t="s">
        <v>156</v>
      </c>
      <c r="Y9" s="127">
        <v>0</v>
      </c>
      <c r="Z9" s="127">
        <f>K9/V9</f>
        <v>170.68106312292358</v>
      </c>
      <c r="AA9" s="90" t="s">
        <v>158</v>
      </c>
      <c r="AB9" s="85" t="s">
        <v>163</v>
      </c>
      <c r="AC9" s="74" t="s">
        <v>156</v>
      </c>
      <c r="AD9" s="74" t="s">
        <v>156</v>
      </c>
      <c r="AE9" s="74" t="s">
        <v>156</v>
      </c>
      <c r="AF9" s="32" t="s">
        <v>179</v>
      </c>
      <c r="AG9" s="74" t="s">
        <v>156</v>
      </c>
      <c r="AH9" s="34" t="s">
        <v>180</v>
      </c>
    </row>
    <row r="10" spans="1:34" s="120" customFormat="1" ht="150.65" customHeight="1" thickBot="1" x14ac:dyDescent="0.4">
      <c r="A10" s="115">
        <v>6</v>
      </c>
      <c r="B10" s="42" t="s">
        <v>23</v>
      </c>
      <c r="C10" s="33" t="s">
        <v>23</v>
      </c>
      <c r="D10" s="33" t="s">
        <v>118</v>
      </c>
      <c r="E10" s="33" t="s">
        <v>110</v>
      </c>
      <c r="F10" s="33" t="s">
        <v>114</v>
      </c>
      <c r="G10" s="33" t="s">
        <v>112</v>
      </c>
      <c r="H10" s="81" t="s">
        <v>40</v>
      </c>
      <c r="I10" s="33" t="s">
        <v>133</v>
      </c>
      <c r="J10" s="35" t="s">
        <v>70</v>
      </c>
      <c r="K10" s="116">
        <v>820000000</v>
      </c>
      <c r="L10" s="79">
        <v>666660000</v>
      </c>
      <c r="M10" s="78">
        <v>666660000</v>
      </c>
      <c r="N10" s="78">
        <f>66600000</f>
        <v>66600000</v>
      </c>
      <c r="O10" s="78">
        <f>130400000/4.5</f>
        <v>28977777.777777776</v>
      </c>
      <c r="P10" s="78">
        <v>0</v>
      </c>
      <c r="Q10" s="44" t="s">
        <v>215</v>
      </c>
      <c r="R10" s="117" t="s">
        <v>156</v>
      </c>
      <c r="S10" s="128">
        <v>406703</v>
      </c>
      <c r="T10" s="125">
        <f>15000000/3.6</f>
        <v>4166666.6666666665</v>
      </c>
      <c r="U10" s="124">
        <v>61343</v>
      </c>
      <c r="V10" s="124">
        <v>6000000</v>
      </c>
      <c r="W10" s="117" t="s">
        <v>156</v>
      </c>
      <c r="X10" s="117" t="s">
        <v>156</v>
      </c>
      <c r="Y10" s="127">
        <f t="shared" si="0"/>
        <v>13367.458389710317</v>
      </c>
      <c r="Z10" s="127">
        <f t="shared" si="1"/>
        <v>136.66666666666666</v>
      </c>
      <c r="AA10" s="118" t="s">
        <v>158</v>
      </c>
      <c r="AB10" s="119" t="s">
        <v>164</v>
      </c>
      <c r="AC10" s="117" t="s">
        <v>156</v>
      </c>
      <c r="AD10" s="117" t="s">
        <v>156</v>
      </c>
      <c r="AE10" s="117" t="s">
        <v>156</v>
      </c>
      <c r="AF10" s="32" t="s">
        <v>179</v>
      </c>
      <c r="AG10" s="117" t="s">
        <v>156</v>
      </c>
      <c r="AH10" s="34" t="s">
        <v>180</v>
      </c>
    </row>
    <row r="11" spans="1:34" ht="102" thickBot="1" x14ac:dyDescent="0.4">
      <c r="A11" s="27">
        <v>7</v>
      </c>
      <c r="B11" s="42" t="s">
        <v>34</v>
      </c>
      <c r="C11" s="33" t="s">
        <v>34</v>
      </c>
      <c r="D11" s="33" t="s">
        <v>119</v>
      </c>
      <c r="E11" s="33" t="s">
        <v>110</v>
      </c>
      <c r="F11" s="33" t="s">
        <v>111</v>
      </c>
      <c r="G11" s="33" t="s">
        <v>56</v>
      </c>
      <c r="H11" s="47" t="s">
        <v>40</v>
      </c>
      <c r="I11" s="33" t="s">
        <v>134</v>
      </c>
      <c r="J11" s="35" t="s">
        <v>70</v>
      </c>
      <c r="K11" s="69">
        <v>27000000</v>
      </c>
      <c r="L11" s="70">
        <v>22220000</v>
      </c>
      <c r="M11" s="70">
        <v>22220000</v>
      </c>
      <c r="N11" s="77">
        <f>2220000</f>
        <v>2220000</v>
      </c>
      <c r="O11" s="77">
        <f>105224980/4.5</f>
        <v>23383328.888888888</v>
      </c>
      <c r="P11" s="77">
        <f>17151672/4.5</f>
        <v>3811482.6666666665</v>
      </c>
      <c r="Q11" s="71" t="s">
        <v>156</v>
      </c>
      <c r="R11" s="74" t="s">
        <v>156</v>
      </c>
      <c r="S11" s="128">
        <v>16547</v>
      </c>
      <c r="T11" s="125">
        <f>200000/3.6</f>
        <v>55555.555555555555</v>
      </c>
      <c r="U11" s="124">
        <v>39309</v>
      </c>
      <c r="V11" s="124">
        <v>60000</v>
      </c>
      <c r="W11" s="74" t="s">
        <v>156</v>
      </c>
      <c r="X11" s="74" t="s">
        <v>156</v>
      </c>
      <c r="Y11" s="127">
        <f t="shared" si="0"/>
        <v>686.86560329695487</v>
      </c>
      <c r="Z11" s="127">
        <f t="shared" si="1"/>
        <v>450</v>
      </c>
      <c r="AA11" s="90" t="s">
        <v>158</v>
      </c>
      <c r="AB11" s="85" t="s">
        <v>165</v>
      </c>
      <c r="AC11" s="74" t="s">
        <v>156</v>
      </c>
      <c r="AD11" s="74" t="s">
        <v>156</v>
      </c>
      <c r="AE11" s="74" t="s">
        <v>156</v>
      </c>
      <c r="AF11" s="32" t="s">
        <v>179</v>
      </c>
      <c r="AG11" s="74" t="s">
        <v>156</v>
      </c>
      <c r="AH11" s="34" t="s">
        <v>180</v>
      </c>
    </row>
    <row r="12" spans="1:34" ht="248.5" thickBot="1" x14ac:dyDescent="0.4">
      <c r="A12" s="27">
        <v>8</v>
      </c>
      <c r="B12" s="42" t="s">
        <v>25</v>
      </c>
      <c r="C12" s="33" t="s">
        <v>25</v>
      </c>
      <c r="D12" s="33" t="s">
        <v>120</v>
      </c>
      <c r="E12" s="33" t="s">
        <v>110</v>
      </c>
      <c r="F12" s="33" t="s">
        <v>114</v>
      </c>
      <c r="G12" s="33" t="s">
        <v>112</v>
      </c>
      <c r="H12" s="80" t="s">
        <v>40</v>
      </c>
      <c r="I12" s="33" t="s">
        <v>148</v>
      </c>
      <c r="J12" s="35" t="s">
        <v>70</v>
      </c>
      <c r="K12" s="69">
        <v>137000000</v>
      </c>
      <c r="L12" s="70">
        <v>111110000</v>
      </c>
      <c r="M12" s="70">
        <v>111110000</v>
      </c>
      <c r="N12" s="77">
        <v>33300000</v>
      </c>
      <c r="O12" s="77">
        <f>69217912/4.5</f>
        <v>15381758.222222222</v>
      </c>
      <c r="P12" s="70">
        <f>3333116/4.5</f>
        <v>740692.4444444445</v>
      </c>
      <c r="Q12" s="71" t="s">
        <v>156</v>
      </c>
      <c r="R12" s="74" t="s">
        <v>156</v>
      </c>
      <c r="S12" s="128">
        <f>10596+207025</f>
        <v>217621</v>
      </c>
      <c r="T12" s="125">
        <f>300000/3.6</f>
        <v>83333.333333333328</v>
      </c>
      <c r="U12" s="124">
        <f>962+13737</f>
        <v>14699</v>
      </c>
      <c r="V12" s="124">
        <f>37000</f>
        <v>37000</v>
      </c>
      <c r="W12" s="74" t="s">
        <v>156</v>
      </c>
      <c r="X12" s="74" t="s">
        <v>156</v>
      </c>
      <c r="Y12" s="127">
        <f t="shared" si="0"/>
        <v>9320.3619293829506</v>
      </c>
      <c r="Z12" s="127">
        <f t="shared" si="1"/>
        <v>3702.7027027027025</v>
      </c>
      <c r="AA12" s="90" t="s">
        <v>158</v>
      </c>
      <c r="AB12" s="85" t="s">
        <v>166</v>
      </c>
      <c r="AC12" s="74" t="s">
        <v>156</v>
      </c>
      <c r="AD12" s="74" t="s">
        <v>156</v>
      </c>
      <c r="AE12" s="74" t="s">
        <v>156</v>
      </c>
      <c r="AF12" s="32" t="s">
        <v>179</v>
      </c>
      <c r="AG12" s="74" t="s">
        <v>156</v>
      </c>
      <c r="AH12" s="34" t="s">
        <v>180</v>
      </c>
    </row>
    <row r="13" spans="1:34" ht="102" thickBot="1" x14ac:dyDescent="0.4">
      <c r="A13" s="27">
        <v>9</v>
      </c>
      <c r="B13" s="42" t="s">
        <v>24</v>
      </c>
      <c r="C13" s="33" t="s">
        <v>33</v>
      </c>
      <c r="D13" s="33" t="s">
        <v>121</v>
      </c>
      <c r="E13" s="33" t="s">
        <v>110</v>
      </c>
      <c r="F13" s="33" t="s">
        <v>114</v>
      </c>
      <c r="G13" s="33" t="s">
        <v>112</v>
      </c>
      <c r="H13" s="47" t="s">
        <v>40</v>
      </c>
      <c r="I13" s="33" t="s">
        <v>135</v>
      </c>
      <c r="J13" s="35" t="s">
        <v>70</v>
      </c>
      <c r="K13" s="69">
        <v>1884000000</v>
      </c>
      <c r="L13" s="70">
        <v>1532000000</v>
      </c>
      <c r="M13" s="70">
        <v>1332000000</v>
      </c>
      <c r="N13" s="77">
        <f>44400000+177600000+44400000+44400000+178000000+399600000</f>
        <v>888400000</v>
      </c>
      <c r="O13" s="70">
        <f>(594832263+2522944529+270799999)/4.5</f>
        <v>753017064.66666663</v>
      </c>
      <c r="P13" s="70">
        <f>85913991/4.5</f>
        <v>19091998</v>
      </c>
      <c r="Q13" s="71" t="s">
        <v>156</v>
      </c>
      <c r="R13" s="74" t="s">
        <v>156</v>
      </c>
      <c r="S13" s="128">
        <f>37790+267939+26292</f>
        <v>332021</v>
      </c>
      <c r="T13" s="125">
        <f>847457+6603593+341800</f>
        <v>7792850</v>
      </c>
      <c r="U13" s="124">
        <f>8454+322975+1145</f>
        <v>332574</v>
      </c>
      <c r="V13" s="124">
        <f>186495+8794792+14880</f>
        <v>8996167</v>
      </c>
      <c r="W13" s="74" t="s">
        <v>156</v>
      </c>
      <c r="X13" s="74" t="s">
        <v>156</v>
      </c>
      <c r="Y13" s="127">
        <f t="shared" si="0"/>
        <v>5664.9046527990758</v>
      </c>
      <c r="Z13" s="127">
        <f t="shared" si="1"/>
        <v>209.42252405941329</v>
      </c>
      <c r="AA13" s="90" t="s">
        <v>158</v>
      </c>
      <c r="AB13" s="85" t="s">
        <v>174</v>
      </c>
      <c r="AC13" s="74" t="s">
        <v>156</v>
      </c>
      <c r="AD13" s="74" t="s">
        <v>156</v>
      </c>
      <c r="AE13" s="74" t="s">
        <v>156</v>
      </c>
      <c r="AF13" s="32" t="s">
        <v>179</v>
      </c>
      <c r="AG13" s="74" t="s">
        <v>156</v>
      </c>
      <c r="AH13" s="34" t="s">
        <v>180</v>
      </c>
    </row>
    <row r="14" spans="1:34" ht="147.65" customHeight="1" thickBot="1" x14ac:dyDescent="0.4">
      <c r="A14" s="113">
        <v>10</v>
      </c>
      <c r="B14" s="63" t="s">
        <v>21</v>
      </c>
      <c r="C14" s="48" t="s">
        <v>21</v>
      </c>
      <c r="D14" s="48" t="s">
        <v>122</v>
      </c>
      <c r="E14" s="48" t="s">
        <v>110</v>
      </c>
      <c r="F14" s="48" t="s">
        <v>114</v>
      </c>
      <c r="G14" s="48" t="s">
        <v>112</v>
      </c>
      <c r="H14" s="65" t="s">
        <v>40</v>
      </c>
      <c r="I14" s="48" t="s">
        <v>149</v>
      </c>
      <c r="J14" s="46" t="s">
        <v>70</v>
      </c>
      <c r="K14" s="69">
        <v>273000000</v>
      </c>
      <c r="L14" s="70">
        <v>222220000</v>
      </c>
      <c r="M14" s="70">
        <v>222220000</v>
      </c>
      <c r="N14" s="77">
        <f>44440000</f>
        <v>44440000</v>
      </c>
      <c r="O14" s="70">
        <f>55170000/4.5</f>
        <v>12260000</v>
      </c>
      <c r="P14" s="70">
        <f>280800/4.5</f>
        <v>62400</v>
      </c>
      <c r="Q14" s="71" t="s">
        <v>156</v>
      </c>
      <c r="R14" s="74" t="s">
        <v>156</v>
      </c>
      <c r="S14" s="74" t="s">
        <v>156</v>
      </c>
      <c r="T14" s="74" t="s">
        <v>156</v>
      </c>
      <c r="U14" s="91">
        <f>2132+388</f>
        <v>2520</v>
      </c>
      <c r="V14" s="124">
        <f>U14*20</f>
        <v>50400</v>
      </c>
      <c r="W14" s="74" t="s">
        <v>156</v>
      </c>
      <c r="X14" s="74" t="s">
        <v>156</v>
      </c>
      <c r="Y14" s="127">
        <f t="shared" si="0"/>
        <v>108333.33333333333</v>
      </c>
      <c r="Z14" s="127">
        <f t="shared" si="1"/>
        <v>5416.666666666667</v>
      </c>
      <c r="AA14" s="90" t="s">
        <v>158</v>
      </c>
      <c r="AB14" s="85" t="s">
        <v>167</v>
      </c>
      <c r="AC14" s="74" t="s">
        <v>156</v>
      </c>
      <c r="AD14" s="74" t="s">
        <v>156</v>
      </c>
      <c r="AE14" s="74" t="s">
        <v>156</v>
      </c>
      <c r="AF14" s="51" t="s">
        <v>179</v>
      </c>
      <c r="AG14" s="65" t="s">
        <v>41</v>
      </c>
      <c r="AH14" s="114" t="s">
        <v>180</v>
      </c>
    </row>
    <row r="15" spans="1:34" ht="102" thickBot="1" x14ac:dyDescent="0.4">
      <c r="A15" s="27">
        <v>11</v>
      </c>
      <c r="B15" s="42" t="s">
        <v>26</v>
      </c>
      <c r="C15" s="33" t="s">
        <v>26</v>
      </c>
      <c r="D15" s="33" t="s">
        <v>123</v>
      </c>
      <c r="E15" s="33" t="s">
        <v>110</v>
      </c>
      <c r="F15" s="33" t="s">
        <v>114</v>
      </c>
      <c r="G15" s="33" t="s">
        <v>56</v>
      </c>
      <c r="H15" s="52" t="s">
        <v>40</v>
      </c>
      <c r="I15" s="33" t="s">
        <v>150</v>
      </c>
      <c r="J15" s="35" t="s">
        <v>70</v>
      </c>
      <c r="K15" s="69">
        <v>213000000</v>
      </c>
      <c r="L15" s="70">
        <v>173000000</v>
      </c>
      <c r="M15" s="70">
        <v>144000000</v>
      </c>
      <c r="N15" s="77">
        <v>11110000</v>
      </c>
      <c r="O15" s="79">
        <f>16310000/4.5</f>
        <v>3624444.4444444445</v>
      </c>
      <c r="P15" s="78">
        <v>0</v>
      </c>
      <c r="Q15" s="71" t="s">
        <v>156</v>
      </c>
      <c r="R15" s="74" t="s">
        <v>156</v>
      </c>
      <c r="S15" s="74" t="s">
        <v>156</v>
      </c>
      <c r="T15" s="125">
        <v>130000</v>
      </c>
      <c r="U15" s="129">
        <v>2423.67</v>
      </c>
      <c r="V15" s="124">
        <v>95000</v>
      </c>
      <c r="W15" s="92">
        <v>3.83</v>
      </c>
      <c r="X15" s="92">
        <v>85</v>
      </c>
      <c r="Y15" s="127">
        <f t="shared" si="0"/>
        <v>87883.251432744553</v>
      </c>
      <c r="Z15" s="127">
        <f t="shared" si="1"/>
        <v>2242.1052631578946</v>
      </c>
      <c r="AA15" s="90" t="s">
        <v>158</v>
      </c>
      <c r="AB15" s="85" t="s">
        <v>173</v>
      </c>
      <c r="AC15" s="74" t="s">
        <v>156</v>
      </c>
      <c r="AD15" s="74" t="s">
        <v>156</v>
      </c>
      <c r="AE15" s="74" t="s">
        <v>156</v>
      </c>
      <c r="AF15" s="32" t="s">
        <v>179</v>
      </c>
      <c r="AG15" s="74" t="s">
        <v>156</v>
      </c>
      <c r="AH15" s="34" t="s">
        <v>180</v>
      </c>
    </row>
    <row r="16" spans="1:34" ht="102" thickBot="1" x14ac:dyDescent="0.4">
      <c r="A16" s="27">
        <v>12</v>
      </c>
      <c r="B16" s="42" t="s">
        <v>27</v>
      </c>
      <c r="C16" s="33" t="s">
        <v>27</v>
      </c>
      <c r="D16" s="33" t="s">
        <v>124</v>
      </c>
      <c r="E16" s="33" t="s">
        <v>110</v>
      </c>
      <c r="F16" s="33" t="s">
        <v>111</v>
      </c>
      <c r="G16" s="33" t="s">
        <v>56</v>
      </c>
      <c r="H16" s="52" t="s">
        <v>40</v>
      </c>
      <c r="I16" s="33" t="s">
        <v>136</v>
      </c>
      <c r="J16" s="35" t="s">
        <v>70</v>
      </c>
      <c r="K16" s="69">
        <v>115000000</v>
      </c>
      <c r="L16" s="70">
        <v>93350000</v>
      </c>
      <c r="M16" s="70">
        <v>77790000</v>
      </c>
      <c r="N16" s="78">
        <f>11110000</f>
        <v>11110000</v>
      </c>
      <c r="O16" s="78">
        <f>128000000/4.5</f>
        <v>28444444.444444444</v>
      </c>
      <c r="P16" s="78">
        <f>1280000/4.5</f>
        <v>284444.44444444444</v>
      </c>
      <c r="Q16" s="71" t="s">
        <v>156</v>
      </c>
      <c r="R16" s="74" t="s">
        <v>156</v>
      </c>
      <c r="S16" s="74" t="s">
        <v>156</v>
      </c>
      <c r="T16" s="74" t="s">
        <v>156</v>
      </c>
      <c r="U16" s="129">
        <v>30157</v>
      </c>
      <c r="V16" s="124">
        <v>80000</v>
      </c>
      <c r="W16" s="74" t="s">
        <v>156</v>
      </c>
      <c r="X16" s="74" t="s">
        <v>156</v>
      </c>
      <c r="Y16" s="127">
        <f t="shared" si="0"/>
        <v>3813.3766621348277</v>
      </c>
      <c r="Z16" s="127">
        <f t="shared" si="1"/>
        <v>1437.5</v>
      </c>
      <c r="AA16" s="90" t="s">
        <v>158</v>
      </c>
      <c r="AB16" s="85" t="s">
        <v>175</v>
      </c>
      <c r="AC16" s="74" t="s">
        <v>156</v>
      </c>
      <c r="AD16" s="74" t="s">
        <v>156</v>
      </c>
      <c r="AE16" s="74" t="s">
        <v>156</v>
      </c>
      <c r="AF16" s="32" t="s">
        <v>179</v>
      </c>
      <c r="AG16" s="74" t="s">
        <v>156</v>
      </c>
      <c r="AH16" s="34" t="s">
        <v>180</v>
      </c>
    </row>
    <row r="17" spans="1:34" ht="102" thickBot="1" x14ac:dyDescent="0.4">
      <c r="A17" s="27">
        <v>13</v>
      </c>
      <c r="B17" s="42" t="s">
        <v>54</v>
      </c>
      <c r="C17" s="33" t="s">
        <v>30</v>
      </c>
      <c r="D17" s="33" t="s">
        <v>125</v>
      </c>
      <c r="E17" s="33" t="s">
        <v>110</v>
      </c>
      <c r="F17" s="33" t="s">
        <v>114</v>
      </c>
      <c r="G17" s="33" t="s">
        <v>112</v>
      </c>
      <c r="H17" s="81" t="s">
        <v>40</v>
      </c>
      <c r="I17" s="33" t="s">
        <v>135</v>
      </c>
      <c r="J17" s="35" t="s">
        <v>70</v>
      </c>
      <c r="K17" s="69">
        <v>910360000</v>
      </c>
      <c r="L17" s="70">
        <f>258200000+481930000</f>
        <v>740130000</v>
      </c>
      <c r="M17" s="70">
        <f>209900000+481930000</f>
        <v>691830000</v>
      </c>
      <c r="N17" s="77">
        <f>20990000+66660000</f>
        <v>87650000</v>
      </c>
      <c r="O17" s="78">
        <f>298714913/4.5</f>
        <v>66381091.777777776</v>
      </c>
      <c r="P17" s="78">
        <f>147149620/4.5</f>
        <v>32699915.555555556</v>
      </c>
      <c r="Q17" s="71" t="s">
        <v>156</v>
      </c>
      <c r="R17" s="74" t="s">
        <v>156</v>
      </c>
      <c r="S17" s="74" t="s">
        <v>156</v>
      </c>
      <c r="T17" s="125">
        <f>450000</f>
        <v>450000</v>
      </c>
      <c r="U17" s="129">
        <f>32006+34385</f>
        <v>66391</v>
      </c>
      <c r="V17" s="124">
        <v>260000</v>
      </c>
      <c r="W17" s="92">
        <v>4</v>
      </c>
      <c r="X17" s="92">
        <v>90</v>
      </c>
      <c r="Y17" s="127">
        <f t="shared" si="0"/>
        <v>13712.099531563013</v>
      </c>
      <c r="Z17" s="127">
        <f t="shared" si="1"/>
        <v>3501.3846153846152</v>
      </c>
      <c r="AA17" s="90" t="s">
        <v>158</v>
      </c>
      <c r="AB17" s="85" t="s">
        <v>176</v>
      </c>
      <c r="AC17" s="74" t="s">
        <v>156</v>
      </c>
      <c r="AD17" s="74" t="s">
        <v>156</v>
      </c>
      <c r="AE17" s="74" t="s">
        <v>156</v>
      </c>
      <c r="AF17" s="32" t="s">
        <v>179</v>
      </c>
      <c r="AG17" s="65" t="s">
        <v>53</v>
      </c>
      <c r="AH17" s="34" t="s">
        <v>180</v>
      </c>
    </row>
    <row r="18" spans="1:34" ht="102" thickBot="1" x14ac:dyDescent="0.4">
      <c r="A18" s="27">
        <v>14</v>
      </c>
      <c r="B18" s="42" t="s">
        <v>29</v>
      </c>
      <c r="C18" s="33" t="s">
        <v>29</v>
      </c>
      <c r="D18" s="33" t="s">
        <v>126</v>
      </c>
      <c r="E18" s="33" t="s">
        <v>110</v>
      </c>
      <c r="F18" s="33" t="s">
        <v>114</v>
      </c>
      <c r="G18" s="33" t="s">
        <v>56</v>
      </c>
      <c r="H18" s="52" t="s">
        <v>40</v>
      </c>
      <c r="I18" s="33" t="s">
        <v>151</v>
      </c>
      <c r="J18" s="35" t="s">
        <v>70</v>
      </c>
      <c r="K18" s="69">
        <v>273000000</v>
      </c>
      <c r="L18" s="70">
        <v>222220000</v>
      </c>
      <c r="M18" s="70">
        <v>222220000</v>
      </c>
      <c r="N18" s="78">
        <f>22200000</f>
        <v>22200000</v>
      </c>
      <c r="O18" s="78">
        <f>28574160/4.5</f>
        <v>6349813.333333333</v>
      </c>
      <c r="P18" s="79">
        <v>0</v>
      </c>
      <c r="Q18" s="71" t="s">
        <v>156</v>
      </c>
      <c r="R18" s="74" t="s">
        <v>156</v>
      </c>
      <c r="S18" s="74" t="s">
        <v>156</v>
      </c>
      <c r="T18" s="125">
        <f>2000000/3.6</f>
        <v>555555.5555555555</v>
      </c>
      <c r="U18" s="129">
        <f>14298</f>
        <v>14298</v>
      </c>
      <c r="V18" s="124">
        <v>600000</v>
      </c>
      <c r="W18" s="74" t="s">
        <v>156</v>
      </c>
      <c r="X18" s="74" t="s">
        <v>156</v>
      </c>
      <c r="Y18" s="127">
        <f t="shared" si="0"/>
        <v>19093.579521611413</v>
      </c>
      <c r="Z18" s="127">
        <f t="shared" si="1"/>
        <v>455</v>
      </c>
      <c r="AA18" s="90" t="s">
        <v>158</v>
      </c>
      <c r="AB18" s="85" t="s">
        <v>168</v>
      </c>
      <c r="AC18" s="74" t="s">
        <v>156</v>
      </c>
      <c r="AD18" s="44" t="s">
        <v>178</v>
      </c>
      <c r="AE18" s="74" t="s">
        <v>156</v>
      </c>
      <c r="AF18" s="32" t="s">
        <v>179</v>
      </c>
      <c r="AG18" s="74" t="s">
        <v>156</v>
      </c>
      <c r="AH18" s="34" t="s">
        <v>180</v>
      </c>
    </row>
    <row r="19" spans="1:34" ht="102" thickBot="1" x14ac:dyDescent="0.4">
      <c r="A19" s="27">
        <v>15</v>
      </c>
      <c r="B19" s="42" t="s">
        <v>31</v>
      </c>
      <c r="C19" s="33" t="s">
        <v>31</v>
      </c>
      <c r="D19" s="33" t="s">
        <v>127</v>
      </c>
      <c r="E19" s="33" t="s">
        <v>110</v>
      </c>
      <c r="F19" s="33" t="s">
        <v>114</v>
      </c>
      <c r="G19" s="33" t="s">
        <v>56</v>
      </c>
      <c r="H19" s="52" t="s">
        <v>40</v>
      </c>
      <c r="I19" s="33" t="s">
        <v>137</v>
      </c>
      <c r="J19" s="35" t="s">
        <v>70</v>
      </c>
      <c r="K19" s="69">
        <v>410000000</v>
      </c>
      <c r="L19" s="70">
        <v>333000000</v>
      </c>
      <c r="M19" s="70">
        <v>333000000</v>
      </c>
      <c r="N19" s="78">
        <f>44440000</f>
        <v>44440000</v>
      </c>
      <c r="O19" s="78">
        <f>126155381/4.5</f>
        <v>28034529.111111112</v>
      </c>
      <c r="P19" s="79">
        <v>0</v>
      </c>
      <c r="Q19" s="71" t="s">
        <v>156</v>
      </c>
      <c r="R19" s="74" t="s">
        <v>156</v>
      </c>
      <c r="S19" s="125">
        <v>8837</v>
      </c>
      <c r="T19" s="125">
        <v>263520</v>
      </c>
      <c r="U19" s="129">
        <v>15438</v>
      </c>
      <c r="V19" s="124">
        <v>62262</v>
      </c>
      <c r="W19" s="92">
        <v>1.9</v>
      </c>
      <c r="X19" s="92">
        <v>15</v>
      </c>
      <c r="Y19" s="127">
        <f t="shared" si="0"/>
        <v>26557.844280347195</v>
      </c>
      <c r="Z19" s="127">
        <f t="shared" si="1"/>
        <v>6585.0759692910606</v>
      </c>
      <c r="AA19" s="90" t="s">
        <v>158</v>
      </c>
      <c r="AB19" s="85" t="s">
        <v>169</v>
      </c>
      <c r="AC19" s="74" t="s">
        <v>156</v>
      </c>
      <c r="AD19" s="74" t="s">
        <v>156</v>
      </c>
      <c r="AE19" s="74" t="s">
        <v>156</v>
      </c>
      <c r="AF19" s="32" t="s">
        <v>179</v>
      </c>
      <c r="AG19" s="74" t="s">
        <v>156</v>
      </c>
      <c r="AH19" s="34" t="s">
        <v>180</v>
      </c>
    </row>
    <row r="20" spans="1:34" s="120" customFormat="1" ht="164.25" customHeight="1" thickBot="1" x14ac:dyDescent="0.4">
      <c r="A20" s="115">
        <v>16</v>
      </c>
      <c r="B20" s="42" t="s">
        <v>32</v>
      </c>
      <c r="C20" s="33" t="s">
        <v>32</v>
      </c>
      <c r="D20" s="33" t="s">
        <v>128</v>
      </c>
      <c r="E20" s="33" t="s">
        <v>129</v>
      </c>
      <c r="F20" s="33" t="s">
        <v>114</v>
      </c>
      <c r="G20" s="33" t="s">
        <v>56</v>
      </c>
      <c r="H20" s="81" t="s">
        <v>40</v>
      </c>
      <c r="I20" s="33" t="s">
        <v>138</v>
      </c>
      <c r="J20" s="35" t="s">
        <v>70</v>
      </c>
      <c r="K20" s="116">
        <v>781000000</v>
      </c>
      <c r="L20" s="79">
        <v>635000000</v>
      </c>
      <c r="M20" s="79">
        <v>444440000</v>
      </c>
      <c r="N20" s="78">
        <f>22222222</f>
        <v>22222222</v>
      </c>
      <c r="O20" s="78">
        <v>0</v>
      </c>
      <c r="P20" s="78">
        <v>0</v>
      </c>
      <c r="Q20" s="132" t="s">
        <v>156</v>
      </c>
      <c r="R20" s="133" t="s">
        <v>157</v>
      </c>
      <c r="S20" s="134">
        <v>0</v>
      </c>
      <c r="T20" s="131">
        <f>1358789</f>
        <v>1358789</v>
      </c>
      <c r="U20" s="93">
        <v>0</v>
      </c>
      <c r="V20" s="124">
        <v>387062</v>
      </c>
      <c r="W20" s="92">
        <v>0</v>
      </c>
      <c r="X20" s="92">
        <v>898</v>
      </c>
      <c r="Y20" s="135" t="e">
        <f>K20/U20</f>
        <v>#DIV/0!</v>
      </c>
      <c r="Z20" s="135">
        <f t="shared" si="1"/>
        <v>2017.7645958528608</v>
      </c>
      <c r="AA20" s="118" t="s">
        <v>158</v>
      </c>
      <c r="AB20" s="119" t="s">
        <v>170</v>
      </c>
      <c r="AC20" s="117" t="s">
        <v>156</v>
      </c>
      <c r="AD20" s="136" t="s">
        <v>178</v>
      </c>
      <c r="AE20" s="117" t="s">
        <v>156</v>
      </c>
      <c r="AF20" s="32" t="s">
        <v>179</v>
      </c>
      <c r="AG20" s="117" t="s">
        <v>156</v>
      </c>
      <c r="AH20" s="34" t="s">
        <v>180</v>
      </c>
    </row>
    <row r="21" spans="1:34" ht="102" thickBot="1" x14ac:dyDescent="0.4">
      <c r="A21" s="58">
        <v>17</v>
      </c>
      <c r="B21" s="42" t="s">
        <v>38</v>
      </c>
      <c r="C21" s="33" t="s">
        <v>39</v>
      </c>
      <c r="D21" s="37" t="s">
        <v>130</v>
      </c>
      <c r="E21" s="37" t="s">
        <v>129</v>
      </c>
      <c r="F21" s="37" t="s">
        <v>114</v>
      </c>
      <c r="G21" s="37" t="s">
        <v>112</v>
      </c>
      <c r="H21" s="52" t="s">
        <v>40</v>
      </c>
      <c r="I21" s="37" t="s">
        <v>139</v>
      </c>
      <c r="J21" s="98" t="s">
        <v>70</v>
      </c>
      <c r="K21" s="69">
        <v>547000000</v>
      </c>
      <c r="L21" s="70">
        <v>444400000</v>
      </c>
      <c r="M21" s="70">
        <v>133330000</v>
      </c>
      <c r="N21" s="78">
        <f>22222222+111111111</f>
        <v>133333333</v>
      </c>
      <c r="O21" s="77">
        <f>(46492301+122080083+69834232)/4.5</f>
        <v>52979248</v>
      </c>
      <c r="P21" s="77">
        <f>(46492301+122080083+69834232)/4.5</f>
        <v>52979248</v>
      </c>
      <c r="Q21" s="71" t="s">
        <v>156</v>
      </c>
      <c r="R21" s="75" t="s">
        <v>157</v>
      </c>
      <c r="S21" s="125">
        <f>62192.8871031001+158112.588509999+84885.65803131</f>
        <v>305191.13364440913</v>
      </c>
      <c r="T21" s="131">
        <v>625000</v>
      </c>
      <c r="U21" s="130">
        <f>7177.34199999949+15541.4350000033+8780.23499999999</f>
        <v>31499.012000002778</v>
      </c>
      <c r="V21" s="124">
        <v>65000</v>
      </c>
      <c r="W21" s="92">
        <f>48+121+63</f>
        <v>232</v>
      </c>
      <c r="X21" s="88">
        <v>450</v>
      </c>
      <c r="Y21" s="127">
        <f t="shared" si="0"/>
        <v>17365.624039254049</v>
      </c>
      <c r="Z21" s="127">
        <f t="shared" si="1"/>
        <v>8415.3846153846152</v>
      </c>
      <c r="AA21" s="90" t="s">
        <v>158</v>
      </c>
      <c r="AB21" s="85" t="s">
        <v>171</v>
      </c>
      <c r="AC21" s="74" t="s">
        <v>156</v>
      </c>
      <c r="AD21" s="74" t="s">
        <v>156</v>
      </c>
      <c r="AE21" s="74" t="s">
        <v>156</v>
      </c>
      <c r="AF21" s="32" t="s">
        <v>179</v>
      </c>
      <c r="AG21" s="74" t="s">
        <v>156</v>
      </c>
      <c r="AH21" s="34" t="s">
        <v>180</v>
      </c>
    </row>
    <row r="22" spans="1:34" ht="102" thickBot="1" x14ac:dyDescent="0.4">
      <c r="A22" s="58">
        <v>18</v>
      </c>
      <c r="B22" s="63" t="s">
        <v>43</v>
      </c>
      <c r="C22" s="63" t="s">
        <v>43</v>
      </c>
      <c r="D22" s="33" t="s">
        <v>140</v>
      </c>
      <c r="E22" s="33" t="s">
        <v>110</v>
      </c>
      <c r="F22" s="37" t="s">
        <v>114</v>
      </c>
      <c r="G22" s="33" t="s">
        <v>55</v>
      </c>
      <c r="H22" s="52" t="s">
        <v>40</v>
      </c>
      <c r="I22" s="33" t="s">
        <v>152</v>
      </c>
      <c r="J22" s="98" t="s">
        <v>70</v>
      </c>
      <c r="K22" s="69">
        <v>547000000</v>
      </c>
      <c r="L22" s="70">
        <v>444400000</v>
      </c>
      <c r="M22" s="70">
        <v>444400000</v>
      </c>
      <c r="N22" s="77">
        <v>44440000</v>
      </c>
      <c r="O22" s="77">
        <v>0</v>
      </c>
      <c r="P22" s="77">
        <v>0</v>
      </c>
      <c r="Q22" s="71" t="s">
        <v>156</v>
      </c>
      <c r="R22" s="71" t="s">
        <v>156</v>
      </c>
      <c r="S22" s="71" t="s">
        <v>156</v>
      </c>
      <c r="T22" s="71" t="s">
        <v>156</v>
      </c>
      <c r="U22" s="93">
        <v>0</v>
      </c>
      <c r="V22" s="124">
        <v>3456.55</v>
      </c>
      <c r="W22" s="117" t="s">
        <v>156</v>
      </c>
      <c r="X22" s="117" t="s">
        <v>156</v>
      </c>
      <c r="Y22" s="127">
        <v>0</v>
      </c>
      <c r="Z22" s="127">
        <f t="shared" si="1"/>
        <v>158250.27845684279</v>
      </c>
      <c r="AA22" s="84" t="s">
        <v>159</v>
      </c>
      <c r="AB22" s="85" t="s">
        <v>177</v>
      </c>
      <c r="AC22" s="74" t="s">
        <v>156</v>
      </c>
      <c r="AD22" s="74" t="s">
        <v>156</v>
      </c>
      <c r="AE22" s="74" t="s">
        <v>156</v>
      </c>
      <c r="AF22" s="32" t="s">
        <v>179</v>
      </c>
      <c r="AG22" s="65" t="s">
        <v>44</v>
      </c>
      <c r="AH22" s="34" t="s">
        <v>180</v>
      </c>
    </row>
    <row r="23" spans="1:34" ht="102" thickBot="1" x14ac:dyDescent="0.4">
      <c r="A23" s="58">
        <v>19</v>
      </c>
      <c r="B23" s="63" t="s">
        <v>45</v>
      </c>
      <c r="C23" s="63" t="s">
        <v>45</v>
      </c>
      <c r="D23" s="33" t="s">
        <v>141</v>
      </c>
      <c r="E23" s="33" t="s">
        <v>110</v>
      </c>
      <c r="F23" s="37" t="s">
        <v>114</v>
      </c>
      <c r="G23" s="33" t="s">
        <v>112</v>
      </c>
      <c r="H23" s="52" t="s">
        <v>40</v>
      </c>
      <c r="I23" s="33" t="s">
        <v>153</v>
      </c>
      <c r="J23" s="98" t="s">
        <v>70</v>
      </c>
      <c r="K23" s="69">
        <v>246000000</v>
      </c>
      <c r="L23" s="70">
        <v>200000000</v>
      </c>
      <c r="M23" s="70">
        <v>88890000</v>
      </c>
      <c r="N23" s="77">
        <v>8889000</v>
      </c>
      <c r="O23" s="77">
        <f>4469822/4.5</f>
        <v>993293.77777777775</v>
      </c>
      <c r="P23" s="77">
        <f>4469822/4.5</f>
        <v>993293.77777777775</v>
      </c>
      <c r="Q23" s="71" t="s">
        <v>156</v>
      </c>
      <c r="R23" s="71" t="s">
        <v>156</v>
      </c>
      <c r="S23" s="125">
        <f>1114.55</f>
        <v>1114.55</v>
      </c>
      <c r="T23" s="125">
        <v>127500</v>
      </c>
      <c r="U23" s="130">
        <v>305.38670000000099</v>
      </c>
      <c r="V23" s="124">
        <v>35000</v>
      </c>
      <c r="W23" s="92">
        <v>0.45</v>
      </c>
      <c r="X23" s="74">
        <v>51</v>
      </c>
      <c r="Y23" s="127">
        <f t="shared" si="0"/>
        <v>805536.06296541146</v>
      </c>
      <c r="Z23" s="127">
        <f t="shared" si="1"/>
        <v>7028.5714285714284</v>
      </c>
      <c r="AA23" s="84" t="s">
        <v>159</v>
      </c>
      <c r="AB23" s="85" t="s">
        <v>172</v>
      </c>
      <c r="AC23" s="74" t="s">
        <v>156</v>
      </c>
      <c r="AD23" s="74" t="s">
        <v>156</v>
      </c>
      <c r="AE23" s="74" t="s">
        <v>156</v>
      </c>
      <c r="AF23" s="32" t="s">
        <v>179</v>
      </c>
      <c r="AG23" s="65" t="s">
        <v>46</v>
      </c>
      <c r="AH23" s="34" t="s">
        <v>180</v>
      </c>
    </row>
    <row r="24" spans="1:34" ht="115.75" customHeight="1" thickBot="1" x14ac:dyDescent="0.4">
      <c r="A24" s="58">
        <v>20</v>
      </c>
      <c r="B24" s="63" t="s">
        <v>48</v>
      </c>
      <c r="C24" s="63" t="s">
        <v>48</v>
      </c>
      <c r="D24" s="33" t="s">
        <v>144</v>
      </c>
      <c r="E24" s="33" t="s">
        <v>110</v>
      </c>
      <c r="F24" s="37" t="s">
        <v>114</v>
      </c>
      <c r="G24" s="33" t="s">
        <v>55</v>
      </c>
      <c r="H24" s="52" t="s">
        <v>40</v>
      </c>
      <c r="I24" s="33" t="s">
        <v>154</v>
      </c>
      <c r="J24" s="98" t="s">
        <v>70</v>
      </c>
      <c r="K24" s="69">
        <v>1300000000</v>
      </c>
      <c r="L24" s="70">
        <v>1000000000</v>
      </c>
      <c r="M24" s="70">
        <v>1000000000</v>
      </c>
      <c r="N24" s="77">
        <v>120500000</v>
      </c>
      <c r="O24" s="77">
        <v>0</v>
      </c>
      <c r="P24" s="77">
        <v>0</v>
      </c>
      <c r="Q24" s="71" t="s">
        <v>156</v>
      </c>
      <c r="R24" s="71" t="s">
        <v>156</v>
      </c>
      <c r="S24" s="125">
        <v>0</v>
      </c>
      <c r="T24" s="125">
        <f>5913000/3.6</f>
        <v>1642500</v>
      </c>
      <c r="U24" s="93">
        <v>0</v>
      </c>
      <c r="V24" s="124">
        <v>1125113</v>
      </c>
      <c r="W24" s="71" t="s">
        <v>156</v>
      </c>
      <c r="X24" s="71" t="s">
        <v>156</v>
      </c>
      <c r="Y24" s="127">
        <v>0</v>
      </c>
      <c r="Z24" s="127">
        <f t="shared" si="1"/>
        <v>1155.4394980770821</v>
      </c>
      <c r="AA24" s="84" t="s">
        <v>159</v>
      </c>
      <c r="AB24" s="85" t="s">
        <v>177</v>
      </c>
      <c r="AC24" s="74" t="s">
        <v>156</v>
      </c>
      <c r="AD24" s="74" t="s">
        <v>156</v>
      </c>
      <c r="AE24" s="74" t="s">
        <v>156</v>
      </c>
      <c r="AF24" s="32" t="s">
        <v>179</v>
      </c>
      <c r="AG24" s="65" t="s">
        <v>50</v>
      </c>
      <c r="AH24" s="34" t="s">
        <v>180</v>
      </c>
    </row>
    <row r="25" spans="1:34" ht="118.4" customHeight="1" thickBot="1" x14ac:dyDescent="0.4">
      <c r="A25" s="58">
        <v>21</v>
      </c>
      <c r="B25" s="63" t="s">
        <v>47</v>
      </c>
      <c r="C25" s="63" t="s">
        <v>47</v>
      </c>
      <c r="D25" s="33" t="s">
        <v>142</v>
      </c>
      <c r="E25" s="33" t="s">
        <v>110</v>
      </c>
      <c r="F25" s="37" t="s">
        <v>114</v>
      </c>
      <c r="G25" s="33" t="s">
        <v>55</v>
      </c>
      <c r="H25" s="52" t="s">
        <v>40</v>
      </c>
      <c r="I25" s="33" t="s">
        <v>155</v>
      </c>
      <c r="J25" s="98" t="s">
        <v>70</v>
      </c>
      <c r="K25" s="69">
        <v>593000000</v>
      </c>
      <c r="L25" s="70">
        <v>481930000</v>
      </c>
      <c r="M25" s="70">
        <v>481930000</v>
      </c>
      <c r="N25" s="77">
        <v>120500000</v>
      </c>
      <c r="O25" s="77">
        <v>0</v>
      </c>
      <c r="P25" s="77">
        <v>0</v>
      </c>
      <c r="Q25" s="71" t="s">
        <v>156</v>
      </c>
      <c r="R25" s="71" t="s">
        <v>156</v>
      </c>
      <c r="S25" s="71" t="s">
        <v>156</v>
      </c>
      <c r="T25" s="71" t="s">
        <v>156</v>
      </c>
      <c r="U25" s="93">
        <v>0</v>
      </c>
      <c r="V25" s="124">
        <v>3189.79</v>
      </c>
      <c r="W25" s="71" t="s">
        <v>156</v>
      </c>
      <c r="X25" s="71" t="s">
        <v>156</v>
      </c>
      <c r="Y25" s="127">
        <v>0</v>
      </c>
      <c r="Z25" s="127">
        <f t="shared" si="1"/>
        <v>185905.65523122213</v>
      </c>
      <c r="AA25" s="84" t="s">
        <v>159</v>
      </c>
      <c r="AB25" s="85" t="s">
        <v>177</v>
      </c>
      <c r="AC25" s="74" t="s">
        <v>156</v>
      </c>
      <c r="AD25" s="74" t="s">
        <v>156</v>
      </c>
      <c r="AE25" s="74" t="s">
        <v>156</v>
      </c>
      <c r="AF25" s="32" t="s">
        <v>179</v>
      </c>
      <c r="AG25" s="65" t="s">
        <v>51</v>
      </c>
      <c r="AH25" s="34" t="s">
        <v>180</v>
      </c>
    </row>
    <row r="26" spans="1:34" ht="102" thickBot="1" x14ac:dyDescent="0.4">
      <c r="A26" s="58">
        <v>22</v>
      </c>
      <c r="B26" s="64" t="s">
        <v>49</v>
      </c>
      <c r="C26" s="64" t="s">
        <v>49</v>
      </c>
      <c r="D26" s="37" t="s">
        <v>143</v>
      </c>
      <c r="E26" s="33" t="s">
        <v>110</v>
      </c>
      <c r="F26" s="37" t="s">
        <v>114</v>
      </c>
      <c r="G26" s="33" t="s">
        <v>55</v>
      </c>
      <c r="H26" s="52" t="s">
        <v>40</v>
      </c>
      <c r="I26" s="33" t="s">
        <v>152</v>
      </c>
      <c r="J26" s="98" t="s">
        <v>70</v>
      </c>
      <c r="K26" s="69">
        <v>1968000000</v>
      </c>
      <c r="L26" s="70">
        <v>1600000000</v>
      </c>
      <c r="M26" s="70">
        <v>481930000</v>
      </c>
      <c r="N26" s="77">
        <v>50000</v>
      </c>
      <c r="O26" s="77">
        <v>0</v>
      </c>
      <c r="P26" s="77">
        <v>0</v>
      </c>
      <c r="Q26" s="71" t="s">
        <v>156</v>
      </c>
      <c r="R26" s="71" t="s">
        <v>156</v>
      </c>
      <c r="S26" s="125">
        <v>0</v>
      </c>
      <c r="T26" s="125">
        <v>28003</v>
      </c>
      <c r="U26" s="93">
        <v>0</v>
      </c>
      <c r="V26" s="124">
        <f>73394</f>
        <v>73394</v>
      </c>
      <c r="W26" s="71" t="s">
        <v>156</v>
      </c>
      <c r="X26" s="71" t="s">
        <v>156</v>
      </c>
      <c r="Y26" s="127">
        <v>0</v>
      </c>
      <c r="Z26" s="127">
        <f t="shared" si="1"/>
        <v>26814.180995721723</v>
      </c>
      <c r="AA26" s="84" t="s">
        <v>159</v>
      </c>
      <c r="AB26" s="86" t="s">
        <v>177</v>
      </c>
      <c r="AC26" s="74" t="s">
        <v>156</v>
      </c>
      <c r="AD26" s="74" t="s">
        <v>156</v>
      </c>
      <c r="AE26" s="74" t="s">
        <v>156</v>
      </c>
      <c r="AF26" s="32" t="s">
        <v>179</v>
      </c>
      <c r="AG26" s="66" t="s">
        <v>52</v>
      </c>
      <c r="AH26" s="34" t="s">
        <v>180</v>
      </c>
    </row>
    <row r="29" spans="1:34" x14ac:dyDescent="0.35">
      <c r="I29" s="82"/>
    </row>
    <row r="30" spans="1:34" x14ac:dyDescent="0.35">
      <c r="I30" s="83"/>
    </row>
  </sheetData>
  <autoFilter ref="A4:AH26" xr:uid="{00000000-0009-0000-0000-000001000000}"/>
  <mergeCells count="35">
    <mergeCell ref="S1:Z1"/>
    <mergeCell ref="R2:R4"/>
    <mergeCell ref="K1:R1"/>
    <mergeCell ref="AA1:AH1"/>
    <mergeCell ref="AH2:AH4"/>
    <mergeCell ref="AF2:AF4"/>
    <mergeCell ref="AG2:AG4"/>
    <mergeCell ref="S3:T3"/>
    <mergeCell ref="U3:V3"/>
    <mergeCell ref="W3:X3"/>
    <mergeCell ref="Y3:Z3"/>
    <mergeCell ref="Q2:Q4"/>
    <mergeCell ref="S2:Z2"/>
    <mergeCell ref="AA2:AA4"/>
    <mergeCell ref="AB2:AB4"/>
    <mergeCell ref="AC2:AC4"/>
    <mergeCell ref="I2:I4"/>
    <mergeCell ref="H2:H4"/>
    <mergeCell ref="J2:J4"/>
    <mergeCell ref="C2:C4"/>
    <mergeCell ref="A1:J1"/>
    <mergeCell ref="A2:A4"/>
    <mergeCell ref="B2:B4"/>
    <mergeCell ref="D2:D4"/>
    <mergeCell ref="E2:E4"/>
    <mergeCell ref="F2:F4"/>
    <mergeCell ref="G2:G4"/>
    <mergeCell ref="AE2:AE4"/>
    <mergeCell ref="AD2:AD4"/>
    <mergeCell ref="K2:K4"/>
    <mergeCell ref="L2:L4"/>
    <mergeCell ref="M2:M4"/>
    <mergeCell ref="N2:N4"/>
    <mergeCell ref="O2:O4"/>
    <mergeCell ref="P2:P4"/>
  </mergeCells>
  <phoneticPr fontId="18" type="noConversion"/>
  <dataValidations count="4">
    <dataValidation type="list" allowBlank="1" showInputMessage="1" showErrorMessage="1" sqref="E1 E5:E1048576" xr:uid="{00000000-0002-0000-0100-000000000000}">
      <formula1>"Priority, Non-priority"</formula1>
    </dataValidation>
    <dataValidation type="list" allowBlank="1" showInputMessage="1" showErrorMessage="1" sqref="F5:F26" xr:uid="{00000000-0002-0000-0100-000001000000}">
      <formula1>"Project, Large-scale project, Scheme, Large-scale scheme"</formula1>
    </dataValidation>
    <dataValidation type="list" allowBlank="1" showInputMessage="1" showErrorMessage="1" sqref="G103:G1048576 G1" xr:uid="{00000000-0002-0000-0100-000002000000}">
      <formula1>"Early stages, Advanced stage, Completed"</formula1>
    </dataValidation>
    <dataValidation type="list" allowBlank="1" showInputMessage="1" showErrorMessage="1" sqref="H27:H69 G5:G102" xr:uid="{00000000-0002-0000-0100-000003000000}">
      <formula1>"Not started, Tender ongoing, Construction ongoing, Complete"</formula1>
    </dataValidation>
  </dataValidations>
  <hyperlinks>
    <hyperlink ref="H5" r:id="rId1" display="https://www.gov.pl/web/funduszmodernizacyjny/Programy-Priorytetowe" xr:uid="{00000000-0004-0000-0100-000000000000}"/>
    <hyperlink ref="H6" r:id="rId2" display="https://www.gov.pl/web/funduszmodernizacyjny/Programy-Priorytetowe" xr:uid="{00000000-0004-0000-0100-000001000000}"/>
    <hyperlink ref="H7" r:id="rId3" display="https://www.gov.pl/web/funduszmodernizacyjny/Programy-Priorytetowe" xr:uid="{00000000-0004-0000-0100-000002000000}"/>
    <hyperlink ref="H8" r:id="rId4" display="https://www.gov.pl/web/funduszmodernizacyjny/Programy-Priorytetowe" xr:uid="{00000000-0004-0000-0100-000003000000}"/>
    <hyperlink ref="H9" r:id="rId5" display="https://www.gov.pl/web/funduszmodernizacyjny/Programy-Priorytetowe" xr:uid="{00000000-0004-0000-0100-000004000000}"/>
    <hyperlink ref="H10" r:id="rId6" display="https://www.gov.pl/web/funduszmodernizacyjny/Programy-Priorytetowe" xr:uid="{00000000-0004-0000-0100-000005000000}"/>
    <hyperlink ref="H11" r:id="rId7" display="https://www.gov.pl/web/funduszmodernizacyjny/Programy-Priorytetowe" xr:uid="{00000000-0004-0000-0100-000006000000}"/>
    <hyperlink ref="H12" r:id="rId8" display="https://www.gov.pl/web/funduszmodernizacyjny/Programy-Priorytetowe" xr:uid="{00000000-0004-0000-0100-000007000000}"/>
    <hyperlink ref="H13" r:id="rId9" display="https://www.gov.pl/web/funduszmodernizacyjny/Programy-Priorytetowe" xr:uid="{00000000-0004-0000-0100-000008000000}"/>
    <hyperlink ref="H14" r:id="rId10" display="https://www.gov.pl/web/funduszmodernizacyjny/Programy-Priorytetowe" xr:uid="{00000000-0004-0000-0100-000009000000}"/>
    <hyperlink ref="H15" r:id="rId11" display="https://www.gov.pl/web/funduszmodernizacyjny/Programy-Priorytetowe" xr:uid="{00000000-0004-0000-0100-00000A000000}"/>
    <hyperlink ref="H16" r:id="rId12" display="https://www.gov.pl/web/funduszmodernizacyjny/Programy-Priorytetowe" xr:uid="{00000000-0004-0000-0100-00000B000000}"/>
    <hyperlink ref="H17" r:id="rId13" display="https://www.gov.pl/web/funduszmodernizacyjny/Programy-Priorytetowe" xr:uid="{00000000-0004-0000-0100-00000C000000}"/>
    <hyperlink ref="H18" r:id="rId14" display="https://www.gov.pl/web/funduszmodernizacyjny/Programy-Priorytetowe" xr:uid="{00000000-0004-0000-0100-00000D000000}"/>
    <hyperlink ref="H19" r:id="rId15" display="https://www.gov.pl/web/funduszmodernizacyjny/Programy-Priorytetowe" xr:uid="{00000000-0004-0000-0100-00000E000000}"/>
    <hyperlink ref="H20" r:id="rId16" display="https://www.gov.pl/web/funduszmodernizacyjny/Programy-Priorytetowe" xr:uid="{00000000-0004-0000-0100-00000F000000}"/>
    <hyperlink ref="H21" r:id="rId17" display="https://www.gov.pl/web/funduszmodernizacyjny/Programy-Priorytetowe" xr:uid="{00000000-0004-0000-0100-000010000000}"/>
    <hyperlink ref="AG14" r:id="rId18" display="https://www.gov.pl/web/funduszmodernizacyjny/wsparcie-wykorzystania-magazynow-oraz-innych-urzadzen-na-cele-stabilizacji-sieci---program-dla-operatorow-sieci-dystrybucyjnych" xr:uid="{00000000-0004-0000-0100-000011000000}"/>
    <hyperlink ref="AG17" r:id="rId19" xr:uid="{00000000-0004-0000-0100-000012000000}"/>
    <hyperlink ref="H22" r:id="rId20" display="https://www.gov.pl/web/funduszmodernizacyjny/Programy-Priorytetowe" xr:uid="{00000000-0004-0000-0100-000013000000}"/>
    <hyperlink ref="H23" r:id="rId21" display="https://www.gov.pl/web/funduszmodernizacyjny/Programy-Priorytetowe" xr:uid="{00000000-0004-0000-0100-000014000000}"/>
    <hyperlink ref="H24" r:id="rId22" display="https://www.gov.pl/web/funduszmodernizacyjny/Programy-Priorytetowe" xr:uid="{00000000-0004-0000-0100-000015000000}"/>
    <hyperlink ref="H25" r:id="rId23" display="https://www.gov.pl/web/funduszmodernizacyjny/Programy-Priorytetowe" xr:uid="{00000000-0004-0000-0100-000016000000}"/>
    <hyperlink ref="H26" r:id="rId24" display="https://www.gov.pl/web/funduszmodernizacyjny/Programy-Priorytetowe" xr:uid="{00000000-0004-0000-0100-000017000000}"/>
  </hyperlinks>
  <pageMargins left="0.7" right="0.7" top="0.75" bottom="0.75" header="0.3" footer="0.3"/>
  <pageSetup paperSize="8" scale="88" orientation="landscape" r:id="rId25"/>
  <headerFooter>
    <oddHeader>&amp;C&amp;"Calibri"&amp;10&amp;K808080 Confidential&amp;1#_x000D_</oddHeader>
  </headerFooter>
  <rowBreaks count="1" manualBreakCount="1">
    <brk id="19" max="33"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AE33-94F5-401C-8675-61A4E0178980}">
  <dimension ref="A1:O19"/>
  <sheetViews>
    <sheetView zoomScale="70" zoomScaleNormal="70" workbookViewId="0">
      <selection activeCell="A5" sqref="A5"/>
    </sheetView>
  </sheetViews>
  <sheetFormatPr defaultColWidth="0" defaultRowHeight="14.5" zeroHeight="1" x14ac:dyDescent="0.35"/>
  <cols>
    <col min="1" max="1" width="9.1796875" customWidth="1"/>
    <col min="2" max="2" width="31.1796875" customWidth="1"/>
    <col min="3" max="5" width="26" style="25" customWidth="1"/>
    <col min="6" max="6" width="41.81640625" style="25" customWidth="1"/>
    <col min="7" max="8" width="26" style="25" customWidth="1"/>
    <col min="9" max="9" width="33.453125" style="25" customWidth="1"/>
    <col min="10" max="10" width="26" style="25" customWidth="1"/>
    <col min="11" max="11" width="26" style="30" customWidth="1"/>
    <col min="12" max="14" width="26" style="25" customWidth="1"/>
    <col min="15" max="15" width="38.1796875" style="26" customWidth="1"/>
  </cols>
  <sheetData>
    <row r="1" spans="1:15" ht="66" customHeight="1" thickBot="1" x14ac:dyDescent="0.4">
      <c r="A1" s="28"/>
      <c r="B1" s="29"/>
      <c r="C1" s="189" t="s">
        <v>181</v>
      </c>
      <c r="D1" s="190"/>
      <c r="E1" s="190"/>
      <c r="F1" s="190"/>
      <c r="G1" s="190"/>
      <c r="H1" s="190"/>
      <c r="I1" s="190"/>
      <c r="J1" s="190"/>
      <c r="K1" s="191" t="s">
        <v>182</v>
      </c>
      <c r="L1" s="191"/>
      <c r="M1" s="191"/>
      <c r="N1" s="191"/>
      <c r="O1" s="192"/>
    </row>
    <row r="2" spans="1:15" ht="100.5" customHeight="1" x14ac:dyDescent="0.35">
      <c r="A2" s="179" t="s">
        <v>72</v>
      </c>
      <c r="B2" s="182" t="s">
        <v>183</v>
      </c>
      <c r="C2" s="151" t="s">
        <v>184</v>
      </c>
      <c r="D2" s="157" t="s">
        <v>185</v>
      </c>
      <c r="E2" s="157" t="s">
        <v>186</v>
      </c>
      <c r="F2" s="157" t="s">
        <v>187</v>
      </c>
      <c r="G2" s="157" t="s">
        <v>188</v>
      </c>
      <c r="H2" s="157" t="s">
        <v>189</v>
      </c>
      <c r="I2" s="157" t="s">
        <v>190</v>
      </c>
      <c r="J2" s="157" t="s">
        <v>191</v>
      </c>
      <c r="K2" s="186" t="s">
        <v>192</v>
      </c>
      <c r="L2" s="186" t="s">
        <v>193</v>
      </c>
      <c r="M2" s="186" t="s">
        <v>194</v>
      </c>
      <c r="N2" s="186" t="s">
        <v>195</v>
      </c>
      <c r="O2" s="193" t="s">
        <v>196</v>
      </c>
    </row>
    <row r="3" spans="1:15" ht="64.5" customHeight="1" x14ac:dyDescent="0.35">
      <c r="A3" s="180"/>
      <c r="B3" s="183"/>
      <c r="C3" s="152"/>
      <c r="D3" s="158"/>
      <c r="E3" s="158"/>
      <c r="F3" s="158"/>
      <c r="G3" s="158"/>
      <c r="H3" s="158"/>
      <c r="I3" s="158"/>
      <c r="J3" s="158"/>
      <c r="K3" s="187"/>
      <c r="L3" s="187"/>
      <c r="M3" s="187"/>
      <c r="N3" s="187"/>
      <c r="O3" s="194"/>
    </row>
    <row r="4" spans="1:15" ht="15" thickBot="1" x14ac:dyDescent="0.4">
      <c r="A4" s="181"/>
      <c r="B4" s="184"/>
      <c r="C4" s="162"/>
      <c r="D4" s="185"/>
      <c r="E4" s="185"/>
      <c r="F4" s="185"/>
      <c r="G4" s="185"/>
      <c r="H4" s="185"/>
      <c r="I4" s="185"/>
      <c r="J4" s="185"/>
      <c r="K4" s="188"/>
      <c r="L4" s="188"/>
      <c r="M4" s="188"/>
      <c r="N4" s="188"/>
      <c r="O4" s="195"/>
    </row>
    <row r="5" spans="1:15" ht="279.5" thickBot="1" x14ac:dyDescent="0.4">
      <c r="A5" s="50">
        <v>1</v>
      </c>
      <c r="B5" s="57" t="s">
        <v>213</v>
      </c>
      <c r="C5" s="54" t="s">
        <v>197</v>
      </c>
      <c r="D5" s="55" t="s">
        <v>70</v>
      </c>
      <c r="E5" s="85" t="s">
        <v>198</v>
      </c>
      <c r="F5" s="56" t="s">
        <v>201</v>
      </c>
      <c r="G5" s="94" t="s">
        <v>199</v>
      </c>
      <c r="H5" s="45">
        <f>100000000/4.5</f>
        <v>22222222.222222224</v>
      </c>
      <c r="I5" s="95" t="s">
        <v>209</v>
      </c>
      <c r="J5" s="99" t="s">
        <v>156</v>
      </c>
      <c r="K5" s="62" t="s">
        <v>57</v>
      </c>
      <c r="L5" s="51" t="s">
        <v>200</v>
      </c>
      <c r="M5" s="51" t="s">
        <v>205</v>
      </c>
      <c r="N5" s="46" t="s">
        <v>210</v>
      </c>
      <c r="O5" s="46" t="s">
        <v>58</v>
      </c>
    </row>
    <row r="6" spans="1:15" s="105" customFormat="1" ht="140" thickBot="1" x14ac:dyDescent="0.4">
      <c r="A6" s="100">
        <v>2</v>
      </c>
      <c r="B6" s="107" t="s">
        <v>211</v>
      </c>
      <c r="C6" s="108" t="s">
        <v>197</v>
      </c>
      <c r="D6" s="109" t="s">
        <v>70</v>
      </c>
      <c r="E6" s="103" t="s">
        <v>198</v>
      </c>
      <c r="F6" s="110" t="s">
        <v>202</v>
      </c>
      <c r="G6" s="103" t="s">
        <v>198</v>
      </c>
      <c r="H6" s="106" t="s">
        <v>59</v>
      </c>
      <c r="I6" s="111" t="s">
        <v>209</v>
      </c>
      <c r="J6" s="112" t="s">
        <v>156</v>
      </c>
      <c r="K6" s="100" t="s">
        <v>57</v>
      </c>
      <c r="L6" s="104" t="s">
        <v>200</v>
      </c>
      <c r="M6" s="101" t="s">
        <v>206</v>
      </c>
      <c r="N6" s="102" t="s">
        <v>210</v>
      </c>
      <c r="O6" s="102" t="s">
        <v>58</v>
      </c>
    </row>
    <row r="7" spans="1:15" ht="140" thickBot="1" x14ac:dyDescent="0.4">
      <c r="A7" s="24">
        <v>3</v>
      </c>
      <c r="B7" s="58" t="s">
        <v>212</v>
      </c>
      <c r="C7" s="54" t="s">
        <v>197</v>
      </c>
      <c r="D7" s="55" t="s">
        <v>70</v>
      </c>
      <c r="E7" s="85" t="s">
        <v>198</v>
      </c>
      <c r="F7" s="31" t="s">
        <v>203</v>
      </c>
      <c r="G7" s="85" t="s">
        <v>198</v>
      </c>
      <c r="H7" s="44">
        <f>1000000000/4.5</f>
        <v>222222222.22222221</v>
      </c>
      <c r="I7" s="96" t="s">
        <v>209</v>
      </c>
      <c r="J7" s="99" t="s">
        <v>156</v>
      </c>
      <c r="K7" s="63" t="s">
        <v>57</v>
      </c>
      <c r="L7" s="51" t="s">
        <v>200</v>
      </c>
      <c r="M7" s="48" t="s">
        <v>207</v>
      </c>
      <c r="N7" s="46" t="s">
        <v>210</v>
      </c>
      <c r="O7" s="46" t="s">
        <v>58</v>
      </c>
    </row>
    <row r="8" spans="1:15" ht="217" x14ac:dyDescent="0.35">
      <c r="A8" s="24">
        <v>4</v>
      </c>
      <c r="B8" s="58" t="s">
        <v>214</v>
      </c>
      <c r="C8" s="54" t="s">
        <v>197</v>
      </c>
      <c r="D8" s="55" t="s">
        <v>70</v>
      </c>
      <c r="E8" s="85" t="s">
        <v>198</v>
      </c>
      <c r="F8" s="31" t="s">
        <v>204</v>
      </c>
      <c r="G8" s="85" t="s">
        <v>198</v>
      </c>
      <c r="H8" s="45">
        <f>485000000/4.5</f>
        <v>107777777.77777778</v>
      </c>
      <c r="I8" s="96" t="s">
        <v>209</v>
      </c>
      <c r="J8" s="99" t="s">
        <v>156</v>
      </c>
      <c r="K8" s="63" t="s">
        <v>57</v>
      </c>
      <c r="L8" s="51" t="s">
        <v>200</v>
      </c>
      <c r="M8" s="48" t="s">
        <v>208</v>
      </c>
      <c r="N8" s="46" t="s">
        <v>210</v>
      </c>
      <c r="O8" s="46" t="s">
        <v>58</v>
      </c>
    </row>
    <row r="9" spans="1:15" ht="16.399999999999999" customHeight="1" x14ac:dyDescent="0.35">
      <c r="A9" s="24">
        <v>5</v>
      </c>
      <c r="B9" s="58"/>
      <c r="C9" s="60"/>
      <c r="D9" s="49"/>
      <c r="E9" s="44"/>
      <c r="F9" s="31"/>
      <c r="G9" s="48"/>
      <c r="H9" s="44"/>
      <c r="I9" s="59"/>
      <c r="J9" s="61"/>
      <c r="K9" s="63"/>
      <c r="L9" s="48"/>
      <c r="M9" s="48"/>
      <c r="N9" s="48"/>
      <c r="O9" s="46"/>
    </row>
    <row r="10" spans="1:15" ht="15.75" hidden="1" customHeight="1" x14ac:dyDescent="0.35"/>
    <row r="11" spans="1:15" ht="15.75" hidden="1" customHeight="1" x14ac:dyDescent="0.35"/>
    <row r="12" spans="1:15" ht="0" hidden="1" customHeight="1" x14ac:dyDescent="0.35"/>
    <row r="13" spans="1:15" x14ac:dyDescent="0.35"/>
    <row r="14" spans="1:15" x14ac:dyDescent="0.35"/>
    <row r="15" spans="1:15" x14ac:dyDescent="0.35"/>
    <row r="16" spans="1:15" x14ac:dyDescent="0.35"/>
    <row r="17" x14ac:dyDescent="0.35"/>
    <row r="18" x14ac:dyDescent="0.35"/>
    <row r="19" x14ac:dyDescent="0.35"/>
  </sheetData>
  <mergeCells count="17">
    <mergeCell ref="L2:L4"/>
    <mergeCell ref="M2:M4"/>
    <mergeCell ref="N2:N4"/>
    <mergeCell ref="C1:J1"/>
    <mergeCell ref="K1:O1"/>
    <mergeCell ref="F2:F4"/>
    <mergeCell ref="G2:G4"/>
    <mergeCell ref="H2:H4"/>
    <mergeCell ref="O2:O4"/>
    <mergeCell ref="I2:I4"/>
    <mergeCell ref="J2:J4"/>
    <mergeCell ref="K2:K4"/>
    <mergeCell ref="A2:A4"/>
    <mergeCell ref="B2:B4"/>
    <mergeCell ref="C2:C4"/>
    <mergeCell ref="D2:D4"/>
    <mergeCell ref="E2:E4"/>
  </mergeCells>
  <pageMargins left="0.7" right="0.7" top="0.75" bottom="0.75" header="0.3" footer="0.3"/>
  <headerFooter>
    <oddHeader>&amp;C&amp;"Calibri"&amp;10&amp;K808080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5"/>
  <sheetViews>
    <sheetView workbookViewId="0">
      <selection activeCell="F14" sqref="F14"/>
    </sheetView>
  </sheetViews>
  <sheetFormatPr defaultRowHeight="14.5" x14ac:dyDescent="0.35"/>
  <cols>
    <col min="2" max="2" width="11" customWidth="1"/>
  </cols>
  <sheetData>
    <row r="2" spans="1:15" x14ac:dyDescent="0.35">
      <c r="B2" t="s">
        <v>2</v>
      </c>
      <c r="C2" t="s">
        <v>3</v>
      </c>
    </row>
    <row r="3" spans="1:15" x14ac:dyDescent="0.35">
      <c r="B3" t="s">
        <v>4</v>
      </c>
      <c r="C3" t="s">
        <v>5</v>
      </c>
    </row>
    <row r="4" spans="1:15" x14ac:dyDescent="0.35">
      <c r="B4" s="12" t="s">
        <v>6</v>
      </c>
      <c r="C4" s="38">
        <v>2021</v>
      </c>
    </row>
    <row r="5" spans="1:15" x14ac:dyDescent="0.35">
      <c r="A5" s="14"/>
      <c r="B5" s="17" t="s">
        <v>1</v>
      </c>
      <c r="C5" s="38">
        <v>2022</v>
      </c>
    </row>
    <row r="6" spans="1:15" x14ac:dyDescent="0.35">
      <c r="A6" s="14"/>
      <c r="B6" s="17" t="s">
        <v>7</v>
      </c>
      <c r="C6" s="38">
        <v>2023</v>
      </c>
    </row>
    <row r="7" spans="1:15" x14ac:dyDescent="0.35">
      <c r="A7" s="14"/>
      <c r="B7" s="17" t="s">
        <v>8</v>
      </c>
      <c r="C7" s="38">
        <v>2024</v>
      </c>
    </row>
    <row r="8" spans="1:15" x14ac:dyDescent="0.35">
      <c r="A8" s="14"/>
      <c r="B8" s="17" t="s">
        <v>9</v>
      </c>
      <c r="C8" s="38">
        <v>2025</v>
      </c>
    </row>
    <row r="9" spans="1:15" x14ac:dyDescent="0.35">
      <c r="A9" s="14"/>
      <c r="B9" s="17" t="s">
        <v>10</v>
      </c>
      <c r="C9" s="38">
        <v>2026</v>
      </c>
    </row>
    <row r="10" spans="1:15" x14ac:dyDescent="0.35">
      <c r="A10" s="14"/>
      <c r="B10" s="17" t="s">
        <v>11</v>
      </c>
      <c r="C10" s="38">
        <v>2027</v>
      </c>
    </row>
    <row r="11" spans="1:15" x14ac:dyDescent="0.35">
      <c r="A11" s="14"/>
      <c r="B11" s="17" t="s">
        <v>12</v>
      </c>
      <c r="C11" s="38">
        <v>2028</v>
      </c>
    </row>
    <row r="12" spans="1:15" x14ac:dyDescent="0.35">
      <c r="A12" s="14"/>
      <c r="B12" s="17" t="s">
        <v>13</v>
      </c>
      <c r="C12" s="38">
        <v>2029</v>
      </c>
    </row>
    <row r="13" spans="1:15" x14ac:dyDescent="0.35">
      <c r="A13" s="14"/>
      <c r="B13" s="17" t="s">
        <v>14</v>
      </c>
      <c r="C13" s="38">
        <v>2030</v>
      </c>
    </row>
    <row r="14" spans="1:15" x14ac:dyDescent="0.35">
      <c r="A14" s="14"/>
      <c r="B14" s="17" t="s">
        <v>15</v>
      </c>
      <c r="C14" s="38"/>
    </row>
    <row r="15" spans="1:15" x14ac:dyDescent="0.35">
      <c r="A15" s="14"/>
      <c r="B15" s="17" t="s">
        <v>16</v>
      </c>
      <c r="C15" s="38"/>
      <c r="I15" s="14"/>
      <c r="J15" s="15"/>
      <c r="K15" s="15"/>
      <c r="L15" s="15"/>
      <c r="M15" s="15"/>
      <c r="N15" s="15"/>
      <c r="O15" s="16"/>
    </row>
    <row r="16" spans="1:15" x14ac:dyDescent="0.35">
      <c r="A16" s="14"/>
      <c r="B16" s="17" t="s">
        <v>17</v>
      </c>
      <c r="C16" s="38"/>
      <c r="I16" s="14"/>
      <c r="J16" s="15"/>
      <c r="K16" s="15"/>
      <c r="L16" s="15"/>
      <c r="M16" s="15"/>
      <c r="N16" s="15"/>
      <c r="O16" s="16"/>
    </row>
    <row r="17" spans="1:15" x14ac:dyDescent="0.35">
      <c r="A17" s="14"/>
      <c r="B17" s="17" t="s">
        <v>18</v>
      </c>
      <c r="C17" s="38"/>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00000000-0002-0000-0300-000000000000}">
      <formula1>$B$4:$B$17</formula1>
    </dataValidation>
  </dataValidations>
  <pageMargins left="0.7" right="0.7" top="0.75" bottom="0.75" header="0.3" footer="0.3"/>
  <pageSetup orientation="portrait" r:id="rId1"/>
  <headerFooter>
    <oddHeader>&amp;C&amp;"Calibri"&amp;10&amp;K808080 Confidential&amp;1#_x000D_</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E01F4-5DFF-4500-800F-F577EFA5000F}">
  <ds:schemaRefs>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8e70c616-2388-4b2b-acbc-3fc015cadcd4"/>
    <ds:schemaRef ds:uri="5f6e308b-c1fa-409d-8633-4b8824628b6a"/>
  </ds:schemaRefs>
</ds:datastoreItem>
</file>

<file path=customXml/itemProps2.xml><?xml version="1.0" encoding="utf-8"?>
<ds:datastoreItem xmlns:ds="http://schemas.openxmlformats.org/officeDocument/2006/customXml" ds:itemID="{4C331B7D-07B5-45B5-AD62-4E5B80DCE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D399C-3F1E-4DDE-B47D-2F726C659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 </vt:lpstr>
      <vt:lpstr>Annual Report</vt:lpstr>
      <vt:lpstr>Overview Planned Investments</vt:lpstr>
      <vt:lpstr> Menu rozwijane</vt:lpstr>
      <vt:lpstr>'Annual Report'!_ftn1</vt:lpstr>
      <vt:lpstr>'Annual Report'!_ftnref1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DEL CAMPO CUADRADO María</cp:lastModifiedBy>
  <cp:revision/>
  <cp:lastPrinted>2025-04-28T12:09:23Z</cp:lastPrinted>
  <dcterms:created xsi:type="dcterms:W3CDTF">2022-04-08T06:50:01Z</dcterms:created>
  <dcterms:modified xsi:type="dcterms:W3CDTF">2025-07-29T14:08:29Z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fe2cb69-e3fc-4f7b-9e98-62927e4fcbd6_Enabled">
    <vt:lpwstr>true</vt:lpwstr>
  </property>
  <property fmtid="{D5CDD505-2E9C-101B-9397-08002B2CF9AE}" pid="12" name="MSIP_Label_9fe2cb69-e3fc-4f7b-9e98-62927e4fcbd6_SetDate">
    <vt:lpwstr>2025-07-29T14:07:56Z</vt:lpwstr>
  </property>
  <property fmtid="{D5CDD505-2E9C-101B-9397-08002B2CF9AE}" pid="13" name="MSIP_Label_9fe2cb69-e3fc-4f7b-9e98-62927e4fcbd6_Method">
    <vt:lpwstr>Privileged</vt:lpwstr>
  </property>
  <property fmtid="{D5CDD505-2E9C-101B-9397-08002B2CF9AE}" pid="14" name="MSIP_Label_9fe2cb69-e3fc-4f7b-9e98-62927e4fcbd6_Name">
    <vt:lpwstr>Default Confidential</vt:lpwstr>
  </property>
  <property fmtid="{D5CDD505-2E9C-101B-9397-08002B2CF9AE}" pid="15" name="MSIP_Label_9fe2cb69-e3fc-4f7b-9e98-62927e4fcbd6_SiteId">
    <vt:lpwstr>0b96d5d2-d153-4370-a2c7-8a926f24c8a1</vt:lpwstr>
  </property>
  <property fmtid="{D5CDD505-2E9C-101B-9397-08002B2CF9AE}" pid="16" name="MSIP_Label_9fe2cb69-e3fc-4f7b-9e98-62927e4fcbd6_ActionId">
    <vt:lpwstr>cb26c39f-353e-4ee9-924f-a33dacd677cc</vt:lpwstr>
  </property>
  <property fmtid="{D5CDD505-2E9C-101B-9397-08002B2CF9AE}" pid="17" name="MSIP_Label_9fe2cb69-e3fc-4f7b-9e98-62927e4fcbd6_ContentBits">
    <vt:lpwstr>1</vt:lpwstr>
  </property>
  <property fmtid="{D5CDD505-2E9C-101B-9397-08002B2CF9AE}" pid="18" name="MSIP_Label_9fe2cb69-e3fc-4f7b-9e98-62927e4fcbd6_Tag">
    <vt:lpwstr>10, 0, 1, 1</vt:lpwstr>
  </property>
</Properties>
</file>